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lovret-my.sharepoint.com/personal/racunovodstvo_dom-lovret_hr/Documents/Dokumenti/IngaDesktop/2025/Izvještaj o izvršenju/"/>
    </mc:Choice>
  </mc:AlternateContent>
  <xr:revisionPtr revIDLastSave="552" documentId="8_{E92945B7-B541-44F4-9433-7691EED14484}" xr6:coauthVersionLast="47" xr6:coauthVersionMax="47" xr10:uidLastSave="{EDED0B09-3CA8-4185-BD42-11CA8D3D3294}"/>
  <bookViews>
    <workbookView xWindow="-120" yWindow="-120" windowWidth="29040" windowHeight="15720" xr2:uid="{00000000-000D-0000-FFFF-FFFF00000000}"/>
  </bookViews>
  <sheets>
    <sheet name="SAŽETAK" sheetId="1" r:id="rId1"/>
    <sheet name="Račun ph i rh - ekonomska kl." sheetId="9" r:id="rId2"/>
    <sheet name="Prema izvorima financiranja" sheetId="3" r:id="rId3"/>
    <sheet name="Rashodi prema funkcijskoj kl" sheetId="5" r:id="rId4"/>
    <sheet name="Račun financiranja" sheetId="6" r:id="rId5"/>
    <sheet name="POSEBNI DIO" sheetId="7" r:id="rId6"/>
  </sheets>
  <definedNames>
    <definedName name="_xlnm.Print_Titles" localSheetId="5">'POSEBNI DIO'!$4:$4</definedName>
    <definedName name="_xlnm.Print_Titles" localSheetId="3">'Rashodi prema funkcijskoj kl'!$6:$6</definedName>
    <definedName name="_xlnm.Print_Area" localSheetId="5">'POSEBNI DIO'!$A$1:$J$170</definedName>
    <definedName name="_xlnm.Print_Area" localSheetId="4">'Račun financiranja'!$A$1:$J$22</definedName>
    <definedName name="_xlnm.Print_Area" localSheetId="1">'Račun ph i rh - ekonomska kl.'!$B$1:$L$115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7" l="1"/>
  <c r="I42" i="7"/>
  <c r="I43" i="7"/>
  <c r="I40" i="7"/>
  <c r="I37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5" i="7"/>
  <c r="I10" i="7"/>
  <c r="K108" i="9"/>
  <c r="K106" i="9"/>
  <c r="K101" i="9"/>
  <c r="K102" i="9"/>
  <c r="K103" i="9"/>
  <c r="K104" i="9"/>
  <c r="K105" i="9"/>
  <c r="K93" i="9"/>
  <c r="K94" i="9"/>
  <c r="K95" i="9"/>
  <c r="K96" i="9"/>
  <c r="K97" i="9"/>
  <c r="K83" i="9"/>
  <c r="K84" i="9"/>
  <c r="K85" i="9"/>
  <c r="K74" i="9"/>
  <c r="K75" i="9"/>
  <c r="K76" i="9"/>
  <c r="K77" i="9"/>
  <c r="K78" i="9"/>
  <c r="K79" i="9"/>
  <c r="K73" i="9"/>
  <c r="K64" i="9"/>
  <c r="K65" i="9"/>
  <c r="K66" i="9"/>
  <c r="K67" i="9"/>
  <c r="K68" i="9"/>
  <c r="K69" i="9"/>
  <c r="K70" i="9"/>
  <c r="K71" i="9"/>
  <c r="K63" i="9"/>
  <c r="K56" i="9"/>
  <c r="K57" i="9"/>
  <c r="K58" i="9"/>
  <c r="K59" i="9"/>
  <c r="K60" i="9"/>
  <c r="K61" i="9"/>
  <c r="K55" i="9"/>
  <c r="K51" i="9"/>
  <c r="K52" i="9"/>
  <c r="K53" i="9"/>
  <c r="K50" i="9"/>
  <c r="K42" i="9"/>
  <c r="I114" i="7"/>
  <c r="I115" i="7"/>
  <c r="I112" i="7"/>
  <c r="I162" i="7"/>
  <c r="I155" i="7"/>
  <c r="I156" i="7"/>
  <c r="I157" i="7"/>
  <c r="I158" i="7"/>
  <c r="I159" i="7"/>
  <c r="I160" i="7"/>
  <c r="I161" i="7"/>
  <c r="I138" i="7"/>
  <c r="I139" i="7"/>
  <c r="I140" i="7"/>
  <c r="I141" i="7"/>
  <c r="I142" i="7"/>
  <c r="I100" i="7"/>
  <c r="I101" i="7"/>
  <c r="I102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126" i="7"/>
  <c r="I127" i="7"/>
  <c r="I128" i="7"/>
  <c r="J8" i="9"/>
  <c r="H7" i="3"/>
  <c r="J8" i="1"/>
  <c r="H22" i="3"/>
  <c r="I22" i="3"/>
  <c r="L33" i="9"/>
  <c r="H78" i="7"/>
  <c r="G32" i="3"/>
  <c r="G36" i="3"/>
  <c r="G34" i="3"/>
  <c r="H113" i="9"/>
  <c r="H112" i="9" s="1"/>
  <c r="I113" i="9"/>
  <c r="I112" i="9" s="1"/>
  <c r="I115" i="9" s="1"/>
  <c r="J112" i="9"/>
  <c r="I129" i="7" l="1"/>
  <c r="H158" i="7"/>
  <c r="H125" i="7"/>
  <c r="E125" i="7"/>
  <c r="H26" i="7"/>
  <c r="H111" i="7"/>
  <c r="I113" i="7"/>
  <c r="H131" i="7"/>
  <c r="E150" i="7"/>
  <c r="H150" i="7"/>
  <c r="F150" i="7"/>
  <c r="F149" i="7" s="1"/>
  <c r="G149" i="7"/>
  <c r="I151" i="7"/>
  <c r="E144" i="7"/>
  <c r="H144" i="7"/>
  <c r="F144" i="7"/>
  <c r="G144" i="7"/>
  <c r="I145" i="7"/>
  <c r="H136" i="7"/>
  <c r="E136" i="7"/>
  <c r="I137" i="7"/>
  <c r="E131" i="7"/>
  <c r="E122" i="7"/>
  <c r="E111" i="7"/>
  <c r="E106" i="7"/>
  <c r="H106" i="7"/>
  <c r="D12" i="5"/>
  <c r="C12" i="5"/>
  <c r="B12" i="5"/>
  <c r="F10" i="3"/>
  <c r="G14" i="3"/>
  <c r="J113" i="9"/>
  <c r="I90" i="9"/>
  <c r="I89" i="9" s="1"/>
  <c r="I48" i="9"/>
  <c r="I98" i="9"/>
  <c r="I80" i="9"/>
  <c r="I86" i="9"/>
  <c r="I40" i="9"/>
  <c r="G44" i="9"/>
  <c r="G40" i="9"/>
  <c r="G107" i="9"/>
  <c r="I9" i="9"/>
  <c r="I16" i="9"/>
  <c r="I23" i="9"/>
  <c r="J23" i="1"/>
  <c r="H11" i="1"/>
  <c r="H123" i="7" l="1"/>
  <c r="I124" i="7"/>
  <c r="H134" i="7"/>
  <c r="H98" i="7"/>
  <c r="J44" i="9"/>
  <c r="H154" i="7"/>
  <c r="H149" i="7" s="1"/>
  <c r="G165" i="7" l="1"/>
  <c r="F122" i="7"/>
  <c r="G122" i="7" s="1"/>
  <c r="G44" i="7"/>
  <c r="F36" i="3"/>
  <c r="F34" i="3"/>
  <c r="F32" i="3"/>
  <c r="F31" i="3"/>
  <c r="F29" i="3"/>
  <c r="F27" i="3"/>
  <c r="F26" i="3"/>
  <c r="E36" i="3"/>
  <c r="E34" i="3"/>
  <c r="E32" i="3"/>
  <c r="E31" i="3"/>
  <c r="E29" i="3"/>
  <c r="E27" i="3"/>
  <c r="E26" i="3"/>
  <c r="E10" i="3"/>
  <c r="E9" i="3"/>
  <c r="H98" i="9"/>
  <c r="H90" i="9"/>
  <c r="H80" i="9"/>
  <c r="H48" i="9"/>
  <c r="H40" i="9"/>
  <c r="H23" i="9"/>
  <c r="G11" i="1"/>
  <c r="G12" i="1"/>
  <c r="G15" i="3"/>
  <c r="K100" i="9" l="1"/>
  <c r="K92" i="9"/>
  <c r="G99" i="9"/>
  <c r="K8" i="1"/>
  <c r="J12" i="1"/>
  <c r="J11" i="1"/>
  <c r="I73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F62" i="7"/>
  <c r="F164" i="7"/>
  <c r="F163" i="7" s="1"/>
  <c r="F38" i="7"/>
  <c r="G38" i="7"/>
  <c r="E14" i="7"/>
  <c r="E64" i="7"/>
  <c r="H169" i="7"/>
  <c r="E169" i="7"/>
  <c r="E168" i="7" s="1"/>
  <c r="E72" i="7"/>
  <c r="H64" i="7"/>
  <c r="E130" i="7"/>
  <c r="H16" i="3"/>
  <c r="F8" i="3"/>
  <c r="L112" i="9"/>
  <c r="K114" i="9"/>
  <c r="J107" i="9"/>
  <c r="K107" i="9" s="1"/>
  <c r="H89" i="9"/>
  <c r="J49" i="9"/>
  <c r="G46" i="9"/>
  <c r="G49" i="9"/>
  <c r="J31" i="9"/>
  <c r="J30" i="9" s="1"/>
  <c r="L30" i="9" s="1"/>
  <c r="G10" i="9"/>
  <c r="G98" i="9" l="1"/>
  <c r="K12" i="1"/>
  <c r="K11" i="1"/>
  <c r="I166" i="7" l="1"/>
  <c r="I170" i="7"/>
  <c r="I107" i="7"/>
  <c r="D13" i="3"/>
  <c r="E20" i="3"/>
  <c r="F20" i="3"/>
  <c r="G20" i="3"/>
  <c r="D20" i="3"/>
  <c r="I21" i="3"/>
  <c r="H21" i="3"/>
  <c r="E13" i="3"/>
  <c r="F13" i="3"/>
  <c r="G13" i="3"/>
  <c r="E35" i="3"/>
  <c r="F35" i="3"/>
  <c r="D35" i="3"/>
  <c r="E33" i="3"/>
  <c r="F33" i="3"/>
  <c r="G33" i="3"/>
  <c r="D33" i="3"/>
  <c r="E30" i="3"/>
  <c r="F30" i="3"/>
  <c r="D30" i="3"/>
  <c r="E28" i="3"/>
  <c r="F28" i="3"/>
  <c r="D28" i="3"/>
  <c r="E25" i="3"/>
  <c r="F25" i="3"/>
  <c r="D25" i="3"/>
  <c r="E17" i="3"/>
  <c r="F17" i="3"/>
  <c r="G17" i="3"/>
  <c r="D17" i="3"/>
  <c r="E15" i="3"/>
  <c r="F15" i="3"/>
  <c r="D15" i="3"/>
  <c r="E11" i="3"/>
  <c r="F11" i="3"/>
  <c r="G11" i="3"/>
  <c r="D11" i="3"/>
  <c r="E8" i="3"/>
  <c r="G8" i="3"/>
  <c r="D8" i="3"/>
  <c r="F24" i="3" l="1"/>
  <c r="F7" i="3"/>
  <c r="F22" i="3" s="1"/>
  <c r="E7" i="3"/>
  <c r="E22" i="3" s="1"/>
  <c r="D24" i="3"/>
  <c r="E24" i="3"/>
  <c r="H20" i="3"/>
  <c r="I20" i="3"/>
  <c r="G7" i="3"/>
  <c r="G22" i="3" s="1"/>
  <c r="D7" i="3"/>
  <c r="D22" i="3" s="1"/>
  <c r="H72" i="7" l="1"/>
  <c r="H44" i="7"/>
  <c r="H117" i="7"/>
  <c r="H116" i="7" s="1"/>
  <c r="F133" i="7"/>
  <c r="G133" i="7"/>
  <c r="G121" i="7" s="1"/>
  <c r="F130" i="7"/>
  <c r="G130" i="7"/>
  <c r="H130" i="7"/>
  <c r="F116" i="7"/>
  <c r="G116" i="7"/>
  <c r="F110" i="7"/>
  <c r="G110" i="7"/>
  <c r="F66" i="7"/>
  <c r="G66" i="7"/>
  <c r="H67" i="7"/>
  <c r="F61" i="7"/>
  <c r="G61" i="7"/>
  <c r="H143" i="7"/>
  <c r="F143" i="7"/>
  <c r="G143" i="7"/>
  <c r="E143" i="7"/>
  <c r="I120" i="7"/>
  <c r="F106" i="7"/>
  <c r="F105" i="7" s="1"/>
  <c r="G105" i="7"/>
  <c r="E105" i="7"/>
  <c r="I99" i="7"/>
  <c r="I71" i="7"/>
  <c r="I70" i="7"/>
  <c r="I69" i="7"/>
  <c r="I68" i="7"/>
  <c r="I65" i="7"/>
  <c r="I45" i="7"/>
  <c r="H39" i="7"/>
  <c r="F148" i="7"/>
  <c r="G148" i="7"/>
  <c r="E152" i="7"/>
  <c r="I13" i="7"/>
  <c r="I12" i="7"/>
  <c r="I11" i="7"/>
  <c r="F168" i="7"/>
  <c r="G168" i="7"/>
  <c r="H168" i="7"/>
  <c r="G164" i="7"/>
  <c r="E165" i="7"/>
  <c r="E164" i="7" s="1"/>
  <c r="H165" i="7"/>
  <c r="H164" i="7" s="1"/>
  <c r="H133" i="7"/>
  <c r="H103" i="7"/>
  <c r="J98" i="7"/>
  <c r="H62" i="7"/>
  <c r="G35" i="3" l="1"/>
  <c r="H148" i="7"/>
  <c r="E103" i="7"/>
  <c r="I104" i="7"/>
  <c r="H38" i="7"/>
  <c r="G27" i="3" s="1"/>
  <c r="J39" i="7"/>
  <c r="H105" i="7"/>
  <c r="I106" i="7"/>
  <c r="E110" i="7"/>
  <c r="H110" i="7"/>
  <c r="E134" i="7"/>
  <c r="I135" i="7"/>
  <c r="J44" i="7"/>
  <c r="E62" i="7"/>
  <c r="E61" i="7" s="1"/>
  <c r="I63" i="7"/>
  <c r="J72" i="7"/>
  <c r="E44" i="7"/>
  <c r="I44" i="7" s="1"/>
  <c r="I72" i="7"/>
  <c r="E9" i="7"/>
  <c r="E98" i="7"/>
  <c r="I98" i="7" s="1"/>
  <c r="H66" i="7"/>
  <c r="E163" i="7"/>
  <c r="F121" i="7"/>
  <c r="H61" i="7"/>
  <c r="G29" i="3" s="1"/>
  <c r="G28" i="3" s="1"/>
  <c r="H28" i="3" s="1"/>
  <c r="E117" i="7"/>
  <c r="E116" i="7" s="1"/>
  <c r="E67" i="7"/>
  <c r="E39" i="7"/>
  <c r="E154" i="7"/>
  <c r="E149" i="7" s="1"/>
  <c r="E148" i="7" s="1"/>
  <c r="J164" i="7"/>
  <c r="J130" i="7"/>
  <c r="J67" i="7"/>
  <c r="I134" i="7" l="1"/>
  <c r="E133" i="7"/>
  <c r="E121" i="7" s="1"/>
  <c r="I150" i="7"/>
  <c r="I32" i="3"/>
  <c r="H32" i="3"/>
  <c r="G31" i="3"/>
  <c r="G30" i="3" s="1"/>
  <c r="E66" i="7"/>
  <c r="E38" i="7"/>
  <c r="I38" i="7" s="1"/>
  <c r="I39" i="7"/>
  <c r="I111" i="7"/>
  <c r="J66" i="7"/>
  <c r="I136" i="7"/>
  <c r="H36" i="7"/>
  <c r="J36" i="7" s="1"/>
  <c r="E36" i="7"/>
  <c r="E8" i="7" s="1"/>
  <c r="F8" i="7"/>
  <c r="F7" i="7" s="1"/>
  <c r="H14" i="7"/>
  <c r="H9" i="7"/>
  <c r="I8" i="3"/>
  <c r="I9" i="3"/>
  <c r="I10" i="3"/>
  <c r="I11" i="3"/>
  <c r="I12" i="3"/>
  <c r="I13" i="3"/>
  <c r="I14" i="3"/>
  <c r="I15" i="3"/>
  <c r="I16" i="3"/>
  <c r="I17" i="3"/>
  <c r="I18" i="3"/>
  <c r="I27" i="3"/>
  <c r="I28" i="3"/>
  <c r="I29" i="3"/>
  <c r="I33" i="3"/>
  <c r="I34" i="3"/>
  <c r="I35" i="3"/>
  <c r="I36" i="3"/>
  <c r="H8" i="3"/>
  <c r="H9" i="3"/>
  <c r="H10" i="3"/>
  <c r="H11" i="3"/>
  <c r="H12" i="3"/>
  <c r="H13" i="3"/>
  <c r="H14" i="3"/>
  <c r="H15" i="3"/>
  <c r="H17" i="3"/>
  <c r="H18" i="3"/>
  <c r="H27" i="3"/>
  <c r="H29" i="3"/>
  <c r="H33" i="3"/>
  <c r="H34" i="3"/>
  <c r="H35" i="3"/>
  <c r="H36" i="3"/>
  <c r="G21" i="1"/>
  <c r="H21" i="1"/>
  <c r="I21" i="1"/>
  <c r="F21" i="1"/>
  <c r="E7" i="7" l="1"/>
  <c r="I31" i="3"/>
  <c r="I30" i="3"/>
  <c r="H30" i="3"/>
  <c r="H31" i="3"/>
  <c r="I14" i="7"/>
  <c r="H8" i="7"/>
  <c r="G14" i="7"/>
  <c r="G8" i="7" s="1"/>
  <c r="G7" i="7" s="1"/>
  <c r="I133" i="7"/>
  <c r="I36" i="7"/>
  <c r="J38" i="7"/>
  <c r="I7" i="3"/>
  <c r="G113" i="9"/>
  <c r="G112" i="9" s="1"/>
  <c r="K112" i="9" s="1"/>
  <c r="G31" i="9"/>
  <c r="K32" i="9"/>
  <c r="J99" i="9"/>
  <c r="J98" i="9" s="1"/>
  <c r="J91" i="9"/>
  <c r="J87" i="9"/>
  <c r="J86" i="9" s="1"/>
  <c r="L86" i="9" s="1"/>
  <c r="J81" i="9"/>
  <c r="J80" i="9" s="1"/>
  <c r="L80" i="9" s="1"/>
  <c r="J72" i="9"/>
  <c r="J62" i="9"/>
  <c r="J54" i="9"/>
  <c r="J46" i="9"/>
  <c r="J41" i="9"/>
  <c r="G91" i="9"/>
  <c r="G90" i="9" s="1"/>
  <c r="G87" i="9"/>
  <c r="G86" i="9" s="1"/>
  <c r="G81" i="9"/>
  <c r="G80" i="9" s="1"/>
  <c r="G72" i="9"/>
  <c r="G62" i="9"/>
  <c r="G54" i="9"/>
  <c r="G41" i="9"/>
  <c r="K88" i="9"/>
  <c r="K82" i="9"/>
  <c r="K43" i="9"/>
  <c r="K45" i="9"/>
  <c r="K47" i="9"/>
  <c r="H7" i="7" l="1"/>
  <c r="K72" i="9"/>
  <c r="K54" i="9"/>
  <c r="K62" i="9"/>
  <c r="J90" i="9"/>
  <c r="K90" i="9" s="1"/>
  <c r="K91" i="9"/>
  <c r="J48" i="9"/>
  <c r="L48" i="9" s="1"/>
  <c r="G48" i="9"/>
  <c r="J14" i="7"/>
  <c r="K44" i="9"/>
  <c r="K87" i="9"/>
  <c r="K46" i="9"/>
  <c r="K86" i="9"/>
  <c r="K81" i="9"/>
  <c r="K80" i="9"/>
  <c r="H39" i="9"/>
  <c r="I39" i="9"/>
  <c r="J40" i="9"/>
  <c r="L40" i="9" s="1"/>
  <c r="K49" i="9"/>
  <c r="K48" i="9" l="1"/>
  <c r="J39" i="9"/>
  <c r="L39" i="9" s="1"/>
  <c r="G39" i="9"/>
  <c r="J20" i="9" l="1"/>
  <c r="G20" i="9"/>
  <c r="K22" i="9"/>
  <c r="G19" i="9" l="1"/>
  <c r="J10" i="9"/>
  <c r="J9" i="9" s="1"/>
  <c r="G24" i="9"/>
  <c r="G23" i="9" s="1"/>
  <c r="J24" i="9"/>
  <c r="G17" i="9"/>
  <c r="G16" i="9" s="1"/>
  <c r="J17" i="9"/>
  <c r="J16" i="9" s="1"/>
  <c r="G14" i="9"/>
  <c r="G13" i="9" s="1"/>
  <c r="J14" i="9"/>
  <c r="J13" i="9" s="1"/>
  <c r="G9" i="9"/>
  <c r="K39" i="9"/>
  <c r="K40" i="9"/>
  <c r="K41" i="9"/>
  <c r="K15" i="9"/>
  <c r="K11" i="9"/>
  <c r="K12" i="9"/>
  <c r="K18" i="9"/>
  <c r="K26" i="9"/>
  <c r="J131" i="7"/>
  <c r="J125" i="7"/>
  <c r="J154" i="7"/>
  <c r="J165" i="7"/>
  <c r="I125" i="7"/>
  <c r="I152" i="7"/>
  <c r="I154" i="7"/>
  <c r="I165" i="7"/>
  <c r="I9" i="7"/>
  <c r="K9" i="9" l="1"/>
  <c r="I169" i="7"/>
  <c r="K24" i="9"/>
  <c r="J23" i="9"/>
  <c r="K23" i="9" s="1"/>
  <c r="K17" i="9"/>
  <c r="L16" i="9"/>
  <c r="L13" i="9"/>
  <c r="I8" i="9"/>
  <c r="I7" i="9" s="1"/>
  <c r="I33" i="9" s="1"/>
  <c r="K14" i="9"/>
  <c r="G8" i="9"/>
  <c r="G7" i="9" s="1"/>
  <c r="H8" i="9"/>
  <c r="H7" i="9" s="1"/>
  <c r="H33" i="9" s="1"/>
  <c r="K13" i="9"/>
  <c r="K16" i="9"/>
  <c r="L9" i="9"/>
  <c r="K25" i="9"/>
  <c r="K10" i="9"/>
  <c r="I117" i="7"/>
  <c r="J9" i="7"/>
  <c r="J62" i="7"/>
  <c r="J64" i="7"/>
  <c r="I64" i="7"/>
  <c r="I62" i="7"/>
  <c r="J169" i="7" l="1"/>
  <c r="L23" i="9"/>
  <c r="I116" i="7"/>
  <c r="E167" i="7" l="1"/>
  <c r="E6" i="7" s="1"/>
  <c r="G167" i="7"/>
  <c r="F167" i="7"/>
  <c r="F6" i="7" s="1"/>
  <c r="G163" i="7"/>
  <c r="H10" i="1" l="1"/>
  <c r="H7" i="1"/>
  <c r="I10" i="1"/>
  <c r="G10" i="1"/>
  <c r="G8" i="1" s="1"/>
  <c r="G7" i="1" s="1"/>
  <c r="G13" i="1" s="1"/>
  <c r="F10" i="1"/>
  <c r="J7" i="1"/>
  <c r="I7" i="1"/>
  <c r="F7" i="1"/>
  <c r="K7" i="1" l="1"/>
  <c r="I13" i="1"/>
  <c r="I23" i="1" s="1"/>
  <c r="J105" i="7"/>
  <c r="I105" i="7"/>
  <c r="J103" i="7"/>
  <c r="I103" i="7"/>
  <c r="H13" i="1"/>
  <c r="H23" i="1" s="1"/>
  <c r="H163" i="7"/>
  <c r="I164" i="7"/>
  <c r="H167" i="7"/>
  <c r="I168" i="7"/>
  <c r="J168" i="7"/>
  <c r="I8" i="7"/>
  <c r="J8" i="7"/>
  <c r="J61" i="7"/>
  <c r="I61" i="7"/>
  <c r="I110" i="7"/>
  <c r="J110" i="7"/>
  <c r="I149" i="7"/>
  <c r="J149" i="7"/>
  <c r="K10" i="1"/>
  <c r="J10" i="1"/>
  <c r="F13" i="1"/>
  <c r="I148" i="7" l="1"/>
  <c r="G23" i="1"/>
  <c r="J13" i="1"/>
  <c r="J163" i="7"/>
  <c r="I163" i="7"/>
  <c r="I167" i="7"/>
  <c r="J167" i="7"/>
  <c r="J148" i="7"/>
  <c r="G6" i="7"/>
  <c r="I144" i="7" l="1"/>
  <c r="I143" i="7"/>
  <c r="J7" i="7"/>
  <c r="I7" i="7"/>
  <c r="K21" i="9" l="1"/>
  <c r="J19" i="9"/>
  <c r="K20" i="9"/>
  <c r="L19" i="9" l="1"/>
  <c r="K19" i="9"/>
  <c r="J7" i="9"/>
  <c r="L7" i="9" l="1"/>
  <c r="K7" i="9"/>
  <c r="J33" i="9"/>
  <c r="K8" i="9"/>
  <c r="L8" i="9"/>
  <c r="G89" i="9" l="1"/>
  <c r="G38" i="9" s="1"/>
  <c r="G115" i="9" s="1"/>
  <c r="H38" i="9"/>
  <c r="H115" i="9" s="1"/>
  <c r="C10" i="5" s="1"/>
  <c r="C8" i="5" s="1"/>
  <c r="K99" i="9"/>
  <c r="J89" i="9" l="1"/>
  <c r="L89" i="9" s="1"/>
  <c r="L98" i="9"/>
  <c r="I38" i="9"/>
  <c r="D10" i="5" s="1"/>
  <c r="D8" i="5" s="1"/>
  <c r="K98" i="9"/>
  <c r="K89" i="9" l="1"/>
  <c r="J38" i="9"/>
  <c r="J115" i="9" s="1"/>
  <c r="L115" i="9" l="1"/>
  <c r="K38" i="9"/>
  <c r="L38" i="9"/>
  <c r="K31" i="9" l="1"/>
  <c r="G30" i="9"/>
  <c r="G33" i="9" s="1"/>
  <c r="K30" i="9" l="1"/>
  <c r="K33" i="9"/>
  <c r="K113" i="9"/>
  <c r="B10" i="5" l="1"/>
  <c r="K115" i="9"/>
  <c r="I66" i="7"/>
  <c r="I67" i="7"/>
  <c r="B8" i="5" l="1"/>
  <c r="J123" i="7"/>
  <c r="H122" i="7"/>
  <c r="J122" i="7" l="1"/>
  <c r="G26" i="3"/>
  <c r="H121" i="7"/>
  <c r="I122" i="7"/>
  <c r="I121" i="7" l="1"/>
  <c r="H6" i="7"/>
  <c r="J121" i="7"/>
  <c r="G25" i="3"/>
  <c r="I26" i="3"/>
  <c r="H26" i="3"/>
  <c r="G24" i="3" l="1"/>
  <c r="I25" i="3"/>
  <c r="H25" i="3"/>
  <c r="J6" i="7"/>
  <c r="I6" i="7"/>
  <c r="H24" i="3" l="1"/>
  <c r="I24" i="3"/>
  <c r="E12" i="5"/>
  <c r="E10" i="5" l="1"/>
  <c r="G12" i="5"/>
  <c r="F12" i="5"/>
  <c r="F10" i="5" l="1"/>
  <c r="E8" i="5"/>
  <c r="G10" i="5"/>
  <c r="F8" i="5" l="1"/>
  <c r="G8" i="5"/>
  <c r="I132" i="7"/>
</calcChain>
</file>

<file path=xl/sharedStrings.xml><?xml version="1.0" encoding="utf-8"?>
<sst xmlns="http://schemas.openxmlformats.org/spreadsheetml/2006/main" count="489" uniqueCount="211">
  <si>
    <t>PRIHODI UKUPNO</t>
  </si>
  <si>
    <t>RASHODI UKUPNO</t>
  </si>
  <si>
    <t>RAZLIKA - VIŠAK / MANJAK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</si>
  <si>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</si>
  <si>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</si>
  <si>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</si>
  <si>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</si>
  <si>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</si>
  <si>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</si>
  <si>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</si>
  <si>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</si>
  <si>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</si>
  <si>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</si>
  <si>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</si>
  <si>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</si>
  <si>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</si>
  <si>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</si>
  <si>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</si>
  <si>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</si>
  <si>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</si>
  <si>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</si>
  <si>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</si>
  <si>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</si>
  <si>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</si>
  <si>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</si>
  <si>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</si>
  <si>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</si>
  <si>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</si>
  <si>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</si>
  <si>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</si>
  <si>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</si>
  <si>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</si>
  <si>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</si>
  <si>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</si>
  <si>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5.4.</t>
  </si>
  <si>
    <t>Pomoći proračunskim korisnicima SDŽ</t>
  </si>
  <si>
    <t>5.5.</t>
  </si>
  <si>
    <t>Pomoći EU za PK</t>
  </si>
  <si>
    <t>4.8.</t>
  </si>
  <si>
    <t>Prihodi za posebne namjene proračunskih korisnika</t>
  </si>
  <si>
    <t>Prihodi od imovine</t>
  </si>
  <si>
    <t>3.2.</t>
  </si>
  <si>
    <t>Vlastiti prihodi PK</t>
  </si>
  <si>
    <t>6.2.</t>
  </si>
  <si>
    <t>Donacije proračunskim korisnicima SDŽ</t>
  </si>
  <si>
    <t>1.1.</t>
  </si>
  <si>
    <t>7.2.</t>
  </si>
  <si>
    <t>Prihodi od prodaje nefinancijske imovine PK</t>
  </si>
  <si>
    <t>5.3.</t>
  </si>
  <si>
    <t xml:space="preserve">Pomoći EU </t>
  </si>
  <si>
    <t>4.4.</t>
  </si>
  <si>
    <t>Prihodi za posebne namjene - Decentralizacija</t>
  </si>
  <si>
    <t>Financijski rashodi</t>
  </si>
  <si>
    <t>8.2.</t>
  </si>
  <si>
    <t>Namjenski primici od zaduživanja proračunski korisnici</t>
  </si>
  <si>
    <t>Primljeni povrati glavnica danih zajmova i depozita</t>
  </si>
  <si>
    <t>05 Zaštita okoliša</t>
  </si>
  <si>
    <t>10 Socijalna zaštita</t>
  </si>
  <si>
    <t>101 Bolest i invaliditet</t>
  </si>
  <si>
    <t>102 Starost</t>
  </si>
  <si>
    <t>103 Sljednici</t>
  </si>
  <si>
    <t>104 Obitelj i djeca</t>
  </si>
  <si>
    <t>105 Nezaposlenost</t>
  </si>
  <si>
    <t>106 Stanovanje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</si>
  <si>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</si>
  <si>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</si>
  <si>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</si>
  <si>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</si>
  <si>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</si>
  <si>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</si>
  <si>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</si>
  <si>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</si>
  <si>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</si>
  <si>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PROGRAM 3030</t>
  </si>
  <si>
    <t>Skrb o starijim i nemoćnim osobama</t>
  </si>
  <si>
    <t>Aktivnost A303001</t>
  </si>
  <si>
    <t>Aktivnost A303002</t>
  </si>
  <si>
    <t>Rashodi djelatnosti</t>
  </si>
  <si>
    <t>Aktivnost A303003</t>
  </si>
  <si>
    <t>Hitne intervencije</t>
  </si>
  <si>
    <t>Aktivnost A303004</t>
  </si>
  <si>
    <t>Upravna vijeća DZSN</t>
  </si>
  <si>
    <t>Tekući projekt T303001</t>
  </si>
  <si>
    <t>COVID-19</t>
  </si>
  <si>
    <t>Rezultat poslovanja</t>
  </si>
  <si>
    <t>7=5/4*100</t>
  </si>
  <si>
    <t>6=5/2*100</t>
  </si>
  <si>
    <t>-</t>
  </si>
  <si>
    <t>1 Opći prihodi i primici</t>
  </si>
  <si>
    <t>3 Vlastiti prihodi</t>
  </si>
  <si>
    <t>UKUPNO RASHODI</t>
  </si>
  <si>
    <t>Službena putovanja</t>
  </si>
  <si>
    <t>Naknade troškova zaposlenima</t>
  </si>
  <si>
    <t>Plaće za redovan rad</t>
  </si>
  <si>
    <t>Plaće (Bruto)</t>
  </si>
  <si>
    <t>UKUPNO PRIHODI</t>
  </si>
  <si>
    <t xml:space="preserve"> RAČUN PRIHODA I RASHODA </t>
  </si>
  <si>
    <t>Pomoći proračunskim korisnicima iz proračuna
koji im nije nadležan</t>
  </si>
  <si>
    <t>Tekuće pomoći proračunskim korisnicima iz
proračuna koji im nije nadležan</t>
  </si>
  <si>
    <t>Kapitalne pomoći proračunskim korisnicima iz
proračuna koji im nije nadležan</t>
  </si>
  <si>
    <t>Prihodi od financijske imovine</t>
  </si>
  <si>
    <t>Kamate na oročena sredstva i depozite po
viđenju</t>
  </si>
  <si>
    <t>Prihodi od upravnih i administrativnih pristojbi,
pristojbi po posebnim propisima i naknada</t>
  </si>
  <si>
    <t>Prihodi po posebnim propisima</t>
  </si>
  <si>
    <t>Ostali nespomenuti prihodi</t>
  </si>
  <si>
    <t>Prihodi od prodaje proizvoda i robe te pruženih usluga i prihodi od donacija</t>
  </si>
  <si>
    <t>Donacije od pravnih i fizičkih osoba izvan općeg
proračuna</t>
  </si>
  <si>
    <t>Tekuće donacije</t>
  </si>
  <si>
    <t>Prihodi iz proračuna za financiranje redovne
djelatnosti proračunskih korisnika</t>
  </si>
  <si>
    <t>Prihodi iz nadležnog proračuna za financiranje rashoda poslovanja</t>
  </si>
  <si>
    <t>Prihodi iz nadležnog proračuna za nabavu nefinancijske imovine</t>
  </si>
  <si>
    <t>Kapitalne donacije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</si>
  <si>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</si>
  <si>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</si>
  <si>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</si>
  <si>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</si>
  <si>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</si>
  <si>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</si>
  <si>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</si>
  <si>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</si>
  <si>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</si>
  <si>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</si>
  <si>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</si>
  <si>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Vojna sredstva za jednokratnu upotrebu</t>
  </si>
  <si>
    <t>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</si>
  <si>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</si>
  <si>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</si>
  <si>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</si>
  <si>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</si>
  <si>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</si>
  <si>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</si>
  <si>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</si>
  <si>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</si>
  <si>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</si>
  <si>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</si>
  <si>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</si>
  <si>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</si>
  <si>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</si>
  <si>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</si>
  <si>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3296</t>
  </si>
  <si>
    <t>Troškovi sudskih postupaka</t>
  </si>
  <si>
    <t xml:space="preserve">Ostali nespomenuti rashodi poslovanja </t>
  </si>
  <si>
    <t>Bankarske usluge i usluge platnog prometa</t>
  </si>
  <si>
    <t>Negativne tečajne razlike i razlike zbog primjene valutne klauzule</t>
  </si>
  <si>
    <t xml:space="preserve">Zatezne kamate </t>
  </si>
  <si>
    <t>Ostali nespomenuti financijski rashodi</t>
  </si>
  <si>
    <t xml:space="preserve">Naknade građanima i kućanstvima u novcu </t>
  </si>
  <si>
    <t>Doprinosi na plaće</t>
  </si>
  <si>
    <t>Rashodi za materijal i energiju</t>
  </si>
  <si>
    <t>Rashodi za usluge</t>
  </si>
  <si>
    <t>Ostali nespomenuti rashodi poslovanja</t>
  </si>
  <si>
    <t xml:space="preserve">Ostali financijski rashodi </t>
  </si>
  <si>
    <t xml:space="preserve">Ostale naknade građanima i kućanstvima iz proračuna 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</si>
  <si>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</si>
  <si>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</si>
  <si>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</si>
  <si>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</si>
  <si>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</si>
  <si>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</si>
  <si>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</si>
  <si>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</si>
  <si>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>Nematerijalna imovina</t>
  </si>
  <si>
    <t>Patenti</t>
  </si>
  <si>
    <t>Koncesije</t>
  </si>
  <si>
    <t>Licence</t>
  </si>
  <si>
    <t>Ostala prava</t>
  </si>
  <si>
    <t>Goodwill</t>
  </si>
  <si>
    <t>Ostala nematerijalna imovina</t>
  </si>
  <si>
    <t>Višak/manjak prihoda</t>
  </si>
  <si>
    <t>Višak prihoda</t>
  </si>
  <si>
    <t>UKUPNI PRIHODI</t>
  </si>
  <si>
    <t>11.1.</t>
  </si>
  <si>
    <t>UKUPNO PRIHODI + VIŠAK ZA POKRIĆE RASHODA</t>
  </si>
  <si>
    <t>UKUPNO RASHODI + VIŠAK ZA POKRIĆE RASHODA</t>
  </si>
  <si>
    <t>RAZLIKA PRIMITAKA I IZDATAKA</t>
  </si>
  <si>
    <t>PRIJENOS SREDSTAVA IZ PRETHODNE GODINE</t>
  </si>
  <si>
    <t>PRIJENOS SREDSTAVA U SLJEDEĆE RAZDOBLJE</t>
  </si>
  <si>
    <t>4 Prihodi za posebne namjene</t>
  </si>
  <si>
    <t>5 Pomoći</t>
  </si>
  <si>
    <t>6 Donacije</t>
  </si>
  <si>
    <t xml:space="preserve"> RAČUN FINANCIRANJA</t>
  </si>
  <si>
    <t>Izvor financiranja 11</t>
  </si>
  <si>
    <t>Izvor financiranja 11.1.</t>
  </si>
  <si>
    <t>Opći prihodi i primici (Matična sredstva Županije)</t>
  </si>
  <si>
    <t>Prihodi za posebne namjene</t>
  </si>
  <si>
    <t>Izvor financiranja 32</t>
  </si>
  <si>
    <t>Prihodi za posebne namjene - višak preneseni</t>
  </si>
  <si>
    <t>Izvor financiranja 43.2.</t>
  </si>
  <si>
    <t>Izvor financiranja 43.1.</t>
  </si>
  <si>
    <t>Izvor financiranja 52</t>
  </si>
  <si>
    <t>Ostale pomoći</t>
  </si>
  <si>
    <t>Izvor financiranja 61</t>
  </si>
  <si>
    <t>Donacije</t>
  </si>
  <si>
    <t>43.1.</t>
  </si>
  <si>
    <t>43.2.</t>
  </si>
  <si>
    <t>VIŠAK KORIŠTEN ZA POKRIĆE RASHODA</t>
  </si>
  <si>
    <t>Naknade za rad predstavničkih i izvršnih tijela</t>
  </si>
  <si>
    <t>Izgradnja i uređenje objekata te nabava i održavanje o.</t>
  </si>
  <si>
    <t>Ulaganja u računalne programe</t>
  </si>
  <si>
    <t>Nematerijalna proizvedena imovina</t>
  </si>
  <si>
    <t>Izvorni plan 2025.</t>
  </si>
  <si>
    <t xml:space="preserve">Tekući plan 2025. </t>
  </si>
  <si>
    <t>INDEKS 2025/2024.</t>
  </si>
  <si>
    <t>INDEKS Izvršenje/Plan 2025.</t>
  </si>
  <si>
    <t>IZVJEŠTAJ O IZVRŠENJU FINANCIJSKOG PLANA DOMA ZA STARIJE OSOBE LOVRET ZA 2025. GODINU</t>
  </si>
  <si>
    <t>Izvršenje         2024.</t>
  </si>
  <si>
    <t>Ostvarenje / Izvršenje         2025.</t>
  </si>
  <si>
    <t xml:space="preserve">GODIŠNJI IZVJEŠTAJ O PRIHODIMA I RASHODIMA PREMA EKONOMSKOJ KLASIFIKACIJI </t>
  </si>
  <si>
    <t>GODIŠNJI IZVJEŠTAJ O PRIHODIMA I RASHODIMA PREMA IZVORIMA FINANCIRANJA</t>
  </si>
  <si>
    <t xml:space="preserve">GODIŠNJI IZVJEŠTAJ RAČUNA FINANCIRANJA PREMA EKONOMSKOJ KLASIFIKACIJI </t>
  </si>
  <si>
    <t>GODIŠNJI IZVJEŠTAJ PO PROGRAMSKOJ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</si>
</sst>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18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horizontal="right"/>
    </xf>
    <xf numFmtId="0" fontId="14" fillId="0" borderId="0" xfId="0" applyFont="1"/>
    <xf numFmtId="0" fontId="6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4" fillId="0" borderId="3" xfId="0" applyFont="1" applyBorder="1"/>
    <xf numFmtId="0" fontId="19" fillId="0" borderId="3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1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0" fontId="20" fillId="2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5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4" fontId="17" fillId="0" borderId="3" xfId="0" applyNumberFormat="1" applyFont="1" applyBorder="1"/>
    <xf numFmtId="4" fontId="6" fillId="2" borderId="3" xfId="0" applyNumberFormat="1" applyFont="1" applyFill="1" applyBorder="1"/>
    <xf numFmtId="0" fontId="23" fillId="2" borderId="3" xfId="0" quotePrefix="1" applyFont="1" applyFill="1" applyBorder="1" applyAlignment="1">
      <alignment horizontal="left" vertical="center"/>
    </xf>
    <xf numFmtId="4" fontId="24" fillId="0" borderId="3" xfId="0" applyNumberFormat="1" applyFont="1" applyBorder="1"/>
    <xf numFmtId="4" fontId="22" fillId="0" borderId="3" xfId="0" applyNumberFormat="1" applyFont="1" applyBorder="1"/>
    <xf numFmtId="4" fontId="22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/>
    </xf>
    <xf numFmtId="4" fontId="24" fillId="0" borderId="3" xfId="0" applyNumberFormat="1" applyFont="1" applyBorder="1" applyAlignment="1">
      <alignment horizontal="center"/>
    </xf>
    <xf numFmtId="2" fontId="20" fillId="3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24" fillId="0" borderId="3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/>
    <xf numFmtId="49" fontId="25" fillId="0" borderId="6" xfId="0" applyNumberFormat="1" applyFont="1" applyBorder="1" applyAlignment="1">
      <alignment horizontal="left" vertical="top" wrapText="1"/>
    </xf>
    <xf numFmtId="0" fontId="9" fillId="2" borderId="3" xfId="0" quotePrefix="1" applyFont="1" applyFill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4" fontId="17" fillId="0" borderId="0" xfId="0" applyNumberFormat="1" applyFont="1"/>
    <xf numFmtId="2" fontId="17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2" fontId="22" fillId="3" borderId="3" xfId="0" applyNumberFormat="1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0" fontId="22" fillId="0" borderId="5" xfId="0" applyFont="1" applyBorder="1" applyAlignment="1">
      <alignment horizontal="right" vertical="center"/>
    </xf>
    <xf numFmtId="0" fontId="22" fillId="0" borderId="3" xfId="0" applyFont="1" applyBorder="1"/>
    <xf numFmtId="0" fontId="22" fillId="3" borderId="3" xfId="0" applyFont="1" applyFill="1" applyBorder="1"/>
    <xf numFmtId="4" fontId="22" fillId="3" borderId="3" xfId="0" applyNumberFormat="1" applyFont="1" applyFill="1" applyBorder="1"/>
    <xf numFmtId="0" fontId="24" fillId="0" borderId="3" xfId="0" applyFont="1" applyBorder="1"/>
    <xf numFmtId="2" fontId="22" fillId="3" borderId="3" xfId="0" applyNumberFormat="1" applyFont="1" applyFill="1" applyBorder="1"/>
    <xf numFmtId="2" fontId="22" fillId="0" borderId="3" xfId="0" applyNumberFormat="1" applyFont="1" applyBorder="1"/>
    <xf numFmtId="2" fontId="24" fillId="0" borderId="3" xfId="0" applyNumberFormat="1" applyFont="1" applyBorder="1"/>
    <xf numFmtId="0" fontId="22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4" fontId="8" fillId="2" borderId="3" xfId="0" quotePrefix="1" applyNumberFormat="1" applyFont="1" applyFill="1" applyBorder="1" applyAlignment="1">
      <alignment horizontal="right" vertical="center"/>
    </xf>
    <xf numFmtId="2" fontId="8" fillId="2" borderId="3" xfId="0" quotePrefix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/>
    <xf numFmtId="4" fontId="9" fillId="2" borderId="3" xfId="0" applyNumberFormat="1" applyFont="1" applyFill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3" fontId="3" fillId="2" borderId="3" xfId="0" applyNumberFormat="1" applyFont="1" applyFill="1" applyBorder="1"/>
    <xf numFmtId="4" fontId="16" fillId="0" borderId="3" xfId="1" applyNumberFormat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4" fontId="18" fillId="0" borderId="3" xfId="1" applyNumberFormat="1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4" fontId="8" fillId="2" borderId="3" xfId="0" applyNumberFormat="1" applyFont="1" applyFill="1" applyBorder="1" applyAlignment="1">
      <alignment vertical="center" wrapText="1"/>
    </xf>
    <xf numFmtId="0" fontId="0" fillId="3" borderId="0" xfId="0" applyFill="1" applyAlignment="1">
      <alignment horizontal="center"/>
    </xf>
    <xf numFmtId="0" fontId="7" fillId="2" borderId="4" xfId="0" quotePrefix="1" applyFont="1" applyFill="1" applyBorder="1" applyAlignment="1">
      <alignment horizontal="left" vertical="center"/>
    </xf>
    <xf numFmtId="4" fontId="3" fillId="2" borderId="7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4" fontId="27" fillId="2" borderId="4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 indent="1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28" fillId="0" borderId="0" xfId="0" applyFont="1"/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center" wrapText="1"/>
    </xf>
    <xf numFmtId="0" fontId="6" fillId="3" borderId="2" xfId="0" quotePrefix="1" applyFont="1" applyFill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2" fontId="29" fillId="3" borderId="3" xfId="0" applyNumberFormat="1" applyFont="1" applyFill="1" applyBorder="1"/>
    <xf numFmtId="4" fontId="9" fillId="3" borderId="3" xfId="0" quotePrefix="1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4" fontId="1" fillId="0" borderId="0" xfId="0" applyNumberFormat="1" applyFont="1"/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wrapText="1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9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no" xfId="0" builtinId="0"/>
    <cellStyle name="Normalno 2" xfId="1" xr:uid="{EE9DC77C-0F6C-4D9B-883B-3A2A518A2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Normal="100" workbookViewId="0">
      <selection activeCell="A2" sqref="A2:K2"/>
    </sheetView>
  </sheetViews>
  <sheetFormatPr defaultRowHeight="15" x14ac:dyDescent="0.25"/>
  <cols>
    <col min="5" max="5" width="10.28515625" customWidth="1"/>
    <col min="6" max="6" width="14.42578125" bestFit="1" customWidth="1"/>
    <col min="7" max="7" width="14.140625" customWidth="1"/>
    <col min="8" max="8" width="15" customWidth="1"/>
    <col min="9" max="9" width="14.42578125" bestFit="1" customWidth="1"/>
    <col min="10" max="10" width="12.140625" customWidth="1"/>
    <col min="11" max="11" width="13.5703125" customWidth="1"/>
    <col min="14" max="14" width="11.7109375" bestFit="1" customWidth="1"/>
  </cols>
  <sheetData>
    <row r="1" spans="1:11" ht="55.5" customHeight="1" x14ac:dyDescent="0.25">
      <c r="A1" s="164" t="s">
        <v>204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.75" x14ac:dyDescent="0.25">
      <c r="A2" s="164" t="s">
        <v>20</v>
      </c>
      <c r="B2" s="164"/>
      <c r="C2" s="164"/>
      <c r="D2" s="164"/>
      <c r="E2" s="164"/>
      <c r="F2" s="164"/>
      <c r="G2" s="164"/>
      <c r="H2" s="164"/>
      <c r="I2" s="164"/>
      <c r="J2" s="165"/>
      <c r="K2" s="165"/>
    </row>
    <row r="3" spans="1:11" ht="18" customHeight="1" x14ac:dyDescent="0.25">
      <c r="A3" s="164" t="s">
        <v>26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ht="18" x14ac:dyDescent="0.25">
      <c r="A4" s="1"/>
      <c r="B4" s="2"/>
      <c r="C4" s="2"/>
      <c r="D4" s="2"/>
      <c r="E4" s="5"/>
      <c r="F4" s="6"/>
      <c r="G4" s="6"/>
      <c r="H4" s="6"/>
      <c r="I4" s="6"/>
      <c r="J4" s="6"/>
      <c r="K4" s="86" t="s">
        <v>33</v>
      </c>
    </row>
    <row r="5" spans="1:11" ht="38.25" x14ac:dyDescent="0.25">
      <c r="A5" s="128"/>
      <c r="B5" s="129"/>
      <c r="C5" s="129"/>
      <c r="D5" s="130"/>
      <c r="E5" s="131"/>
      <c r="F5" s="51" t="s">
        <v>205</v>
      </c>
      <c r="G5" s="51" t="s">
        <v>200</v>
      </c>
      <c r="H5" s="51" t="s">
        <v>201</v>
      </c>
      <c r="I5" s="51" t="s">
        <v>206</v>
      </c>
      <c r="J5" s="51" t="s">
        <v>202</v>
      </c>
      <c r="K5" s="51" t="s">
        <v>203</v>
      </c>
    </row>
    <row r="6" spans="1:11" s="46" customFormat="1" ht="11.25" x14ac:dyDescent="0.2">
      <c r="A6" s="160">
        <v>1</v>
      </c>
      <c r="B6" s="161"/>
      <c r="C6" s="161"/>
      <c r="D6" s="161"/>
      <c r="E6" s="162"/>
      <c r="F6" s="45">
        <v>2</v>
      </c>
      <c r="G6" s="45">
        <v>3</v>
      </c>
      <c r="H6" s="45">
        <v>4</v>
      </c>
      <c r="I6" s="45">
        <v>5</v>
      </c>
      <c r="J6" s="45" t="s">
        <v>86</v>
      </c>
      <c r="K6" s="45" t="s">
        <v>85</v>
      </c>
    </row>
    <row r="7" spans="1:11" x14ac:dyDescent="0.25">
      <c r="A7" s="173" t="s">
        <v>0</v>
      </c>
      <c r="B7" s="170"/>
      <c r="C7" s="170"/>
      <c r="D7" s="170"/>
      <c r="E7" s="174"/>
      <c r="F7" s="39">
        <f>F8+F9</f>
        <v>2454512.69</v>
      </c>
      <c r="G7" s="39">
        <f t="shared" ref="G7:J7" si="0">G8+G9</f>
        <v>2343804.17</v>
      </c>
      <c r="H7" s="39">
        <f t="shared" si="0"/>
        <v>2526633.1430000002</v>
      </c>
      <c r="I7" s="39">
        <f t="shared" si="0"/>
        <v>2524053.92</v>
      </c>
      <c r="J7" s="39">
        <f t="shared" si="0"/>
        <v>102.83319904123209</v>
      </c>
      <c r="K7" s="39">
        <f>I7/H7*100</f>
        <v>99.897918579626563</v>
      </c>
    </row>
    <row r="8" spans="1:11" x14ac:dyDescent="0.25">
      <c r="A8" s="175" t="s">
        <v>67</v>
      </c>
      <c r="B8" s="172"/>
      <c r="C8" s="172"/>
      <c r="D8" s="172"/>
      <c r="E8" s="168"/>
      <c r="F8" s="40">
        <v>2454512.69</v>
      </c>
      <c r="G8" s="40">
        <f>G10</f>
        <v>2343804.17</v>
      </c>
      <c r="H8" s="40">
        <v>2526633.1430000002</v>
      </c>
      <c r="I8" s="40">
        <v>2524053.92</v>
      </c>
      <c r="J8" s="40">
        <f>I8/F8*100</f>
        <v>102.83319904123209</v>
      </c>
      <c r="K8" s="40">
        <f>I8/H8*100</f>
        <v>99.897918579626563</v>
      </c>
    </row>
    <row r="9" spans="1:11" x14ac:dyDescent="0.25">
      <c r="A9" s="167" t="s">
        <v>68</v>
      </c>
      <c r="B9" s="168"/>
      <c r="C9" s="168"/>
      <c r="D9" s="168"/>
      <c r="E9" s="168"/>
      <c r="F9" s="40"/>
      <c r="G9" s="40"/>
      <c r="H9" s="40"/>
      <c r="I9" s="40"/>
      <c r="J9" s="40"/>
      <c r="K9" s="40"/>
    </row>
    <row r="10" spans="1:11" x14ac:dyDescent="0.25">
      <c r="A10" s="24" t="s">
        <v>1</v>
      </c>
      <c r="B10" s="26"/>
      <c r="C10" s="26"/>
      <c r="D10" s="26"/>
      <c r="E10" s="26"/>
      <c r="F10" s="39">
        <f>F11+F12</f>
        <v>2460791.44</v>
      </c>
      <c r="G10" s="39">
        <f t="shared" ref="G10:I10" si="1">G11+G12</f>
        <v>2343804.17</v>
      </c>
      <c r="H10" s="39">
        <f t="shared" si="1"/>
        <v>2526633.14</v>
      </c>
      <c r="I10" s="39">
        <f t="shared" si="1"/>
        <v>2589348.4699999997</v>
      </c>
      <c r="J10" s="39">
        <f>I10/F10*100</f>
        <v>105.22421477538948</v>
      </c>
      <c r="K10" s="39">
        <f>I10/H10*100</f>
        <v>102.48217000747483</v>
      </c>
    </row>
    <row r="11" spans="1:11" x14ac:dyDescent="0.25">
      <c r="A11" s="171" t="s">
        <v>69</v>
      </c>
      <c r="B11" s="172"/>
      <c r="C11" s="172"/>
      <c r="D11" s="172"/>
      <c r="E11" s="172"/>
      <c r="F11" s="40">
        <v>2281165.17</v>
      </c>
      <c r="G11" s="40">
        <f>2274682+6269.17+1000</f>
        <v>2281951.17</v>
      </c>
      <c r="H11" s="40">
        <f>2526633.14-H12</f>
        <v>2448826.8400000003</v>
      </c>
      <c r="I11" s="40">
        <v>2511542.17</v>
      </c>
      <c r="J11" s="40">
        <f>I11/F11*100</f>
        <v>110.09909335061433</v>
      </c>
      <c r="K11" s="40">
        <f>I11/H11*100</f>
        <v>102.56103571618806</v>
      </c>
    </row>
    <row r="12" spans="1:11" x14ac:dyDescent="0.25">
      <c r="A12" s="167" t="s">
        <v>70</v>
      </c>
      <c r="B12" s="168"/>
      <c r="C12" s="168"/>
      <c r="D12" s="168"/>
      <c r="E12" s="168"/>
      <c r="F12" s="40">
        <v>179626.27</v>
      </c>
      <c r="G12" s="40">
        <f>41945+19908</f>
        <v>61853</v>
      </c>
      <c r="H12" s="40">
        <v>77806.3</v>
      </c>
      <c r="I12" s="40">
        <v>77806.3</v>
      </c>
      <c r="J12" s="40">
        <f>I12/F12*100</f>
        <v>43.315657559442727</v>
      </c>
      <c r="K12" s="40">
        <f>I12/H12*100</f>
        <v>100</v>
      </c>
    </row>
    <row r="13" spans="1:11" x14ac:dyDescent="0.25">
      <c r="A13" s="169" t="s">
        <v>2</v>
      </c>
      <c r="B13" s="170"/>
      <c r="C13" s="170"/>
      <c r="D13" s="170"/>
      <c r="E13" s="170"/>
      <c r="F13" s="39">
        <f>F7-F10</f>
        <v>-6278.75</v>
      </c>
      <c r="G13" s="39">
        <f>G7-G10</f>
        <v>0</v>
      </c>
      <c r="H13" s="39">
        <f>H7-H10</f>
        <v>3.0000000260770321E-3</v>
      </c>
      <c r="I13" s="39">
        <f t="shared" ref="I13" si="2">I7-I10</f>
        <v>-65294.549999999814</v>
      </c>
      <c r="J13" s="39">
        <f>I13/F13*100</f>
        <v>1039.9291260203036</v>
      </c>
      <c r="K13" s="39" t="s">
        <v>87</v>
      </c>
    </row>
    <row r="14" spans="1:11" ht="18" x14ac:dyDescent="0.25">
      <c r="A14" s="3"/>
      <c r="B14" s="17"/>
      <c r="C14" s="17"/>
      <c r="D14" s="17"/>
      <c r="E14" s="17"/>
      <c r="F14" s="17"/>
      <c r="G14" s="17"/>
      <c r="H14" s="17"/>
      <c r="I14" s="18"/>
      <c r="J14" s="18"/>
      <c r="K14" s="18"/>
    </row>
    <row r="15" spans="1:11" ht="18" customHeight="1" x14ac:dyDescent="0.25">
      <c r="A15" s="164" t="s">
        <v>27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</row>
    <row r="16" spans="1:11" ht="18" x14ac:dyDescent="0.25">
      <c r="A16" s="3"/>
      <c r="B16" s="17"/>
      <c r="C16" s="17"/>
      <c r="D16" s="17"/>
      <c r="E16" s="17"/>
      <c r="F16" s="17"/>
      <c r="G16" s="17"/>
      <c r="H16" s="17"/>
      <c r="I16" s="18"/>
      <c r="J16" s="18"/>
      <c r="K16" s="18"/>
    </row>
    <row r="17" spans="1:14" ht="39" customHeight="1" x14ac:dyDescent="0.25">
      <c r="A17" s="128"/>
      <c r="B17" s="129"/>
      <c r="C17" s="129"/>
      <c r="D17" s="130"/>
      <c r="E17" s="131"/>
      <c r="F17" s="51" t="s">
        <v>205</v>
      </c>
      <c r="G17" s="51" t="s">
        <v>200</v>
      </c>
      <c r="H17" s="51" t="s">
        <v>201</v>
      </c>
      <c r="I17" s="51" t="s">
        <v>206</v>
      </c>
      <c r="J17" s="51" t="s">
        <v>202</v>
      </c>
      <c r="K17" s="51" t="s">
        <v>203</v>
      </c>
    </row>
    <row r="18" spans="1:14" s="46" customFormat="1" ht="11.25" x14ac:dyDescent="0.2">
      <c r="A18" s="160">
        <v>1</v>
      </c>
      <c r="B18" s="161"/>
      <c r="C18" s="161"/>
      <c r="D18" s="161"/>
      <c r="E18" s="162"/>
      <c r="F18" s="45">
        <v>2</v>
      </c>
      <c r="G18" s="45">
        <v>3</v>
      </c>
      <c r="H18" s="45">
        <v>4</v>
      </c>
      <c r="I18" s="45">
        <v>5</v>
      </c>
      <c r="J18" s="45" t="s">
        <v>86</v>
      </c>
      <c r="K18" s="45" t="s">
        <v>85</v>
      </c>
    </row>
    <row r="19" spans="1:14" ht="27.75" customHeight="1" x14ac:dyDescent="0.25">
      <c r="A19" s="158" t="s">
        <v>71</v>
      </c>
      <c r="B19" s="158"/>
      <c r="C19" s="158"/>
      <c r="D19" s="158"/>
      <c r="E19" s="158"/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84">
        <v>0</v>
      </c>
    </row>
    <row r="20" spans="1:14" ht="25.5" customHeight="1" x14ac:dyDescent="0.25">
      <c r="A20" s="158" t="s">
        <v>72</v>
      </c>
      <c r="B20" s="158"/>
      <c r="C20" s="158"/>
      <c r="D20" s="158"/>
      <c r="E20" s="158"/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84">
        <v>0</v>
      </c>
    </row>
    <row r="21" spans="1:14" ht="15" customHeight="1" x14ac:dyDescent="0.25">
      <c r="A21" s="159" t="s">
        <v>174</v>
      </c>
      <c r="B21" s="159"/>
      <c r="C21" s="159"/>
      <c r="D21" s="159"/>
      <c r="E21" s="159"/>
      <c r="F21" s="39">
        <f>+F19-F20</f>
        <v>0</v>
      </c>
      <c r="G21" s="39">
        <f t="shared" ref="G21:I21" si="3">+G19-G20</f>
        <v>0</v>
      </c>
      <c r="H21" s="39">
        <f t="shared" si="3"/>
        <v>0</v>
      </c>
      <c r="I21" s="39">
        <f t="shared" si="3"/>
        <v>0</v>
      </c>
      <c r="J21" s="39">
        <v>0</v>
      </c>
      <c r="K21" s="85">
        <v>0</v>
      </c>
      <c r="N21" s="38"/>
    </row>
    <row r="22" spans="1:14" ht="15" customHeight="1" x14ac:dyDescent="0.25">
      <c r="A22" s="163" t="s">
        <v>175</v>
      </c>
      <c r="B22" s="163"/>
      <c r="C22" s="163"/>
      <c r="D22" s="163"/>
      <c r="E22" s="163"/>
      <c r="F22" s="39">
        <v>0</v>
      </c>
      <c r="G22" s="39">
        <v>0</v>
      </c>
      <c r="H22" s="39">
        <v>555.62</v>
      </c>
      <c r="I22" s="39">
        <v>555.62</v>
      </c>
      <c r="J22" s="39">
        <v>0</v>
      </c>
      <c r="K22" s="85">
        <v>0</v>
      </c>
    </row>
    <row r="23" spans="1:14" x14ac:dyDescent="0.25">
      <c r="A23" s="163" t="s">
        <v>176</v>
      </c>
      <c r="B23" s="163"/>
      <c r="C23" s="163"/>
      <c r="D23" s="163"/>
      <c r="E23" s="163"/>
      <c r="F23" s="39">
        <v>555.62</v>
      </c>
      <c r="G23" s="39">
        <f t="shared" ref="G23" si="4">G13+G22</f>
        <v>0</v>
      </c>
      <c r="H23" s="39">
        <f>H13+H22</f>
        <v>555.62300000002608</v>
      </c>
      <c r="I23" s="39">
        <f>I13+I22</f>
        <v>-64738.929999999811</v>
      </c>
      <c r="J23" s="39">
        <f>I23/F23*100</f>
        <v>-11651.655807926247</v>
      </c>
      <c r="K23" s="85">
        <v>0</v>
      </c>
    </row>
    <row r="24" spans="1:14" ht="18" x14ac:dyDescent="0.25">
      <c r="A24" s="16"/>
      <c r="B24" s="17"/>
      <c r="C24" s="17"/>
      <c r="D24" s="17"/>
      <c r="E24" s="17"/>
      <c r="F24" s="17"/>
      <c r="G24" s="17"/>
      <c r="H24" s="17"/>
      <c r="I24" s="18"/>
      <c r="J24" s="18"/>
      <c r="K24" s="18"/>
    </row>
  </sheetData>
  <mergeCells count="17">
    <mergeCell ref="A1:K1"/>
    <mergeCell ref="A2:K2"/>
    <mergeCell ref="A3:K3"/>
    <mergeCell ref="A6:E6"/>
    <mergeCell ref="A15:K15"/>
    <mergeCell ref="A12:E12"/>
    <mergeCell ref="A13:E13"/>
    <mergeCell ref="A11:E11"/>
    <mergeCell ref="A7:E7"/>
    <mergeCell ref="A8:E8"/>
    <mergeCell ref="A9:E9"/>
    <mergeCell ref="A20:E20"/>
    <mergeCell ref="A21:E21"/>
    <mergeCell ref="A18:E18"/>
    <mergeCell ref="A23:E23"/>
    <mergeCell ref="A22:E22"/>
    <mergeCell ref="A19:E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819B2-2436-410D-9E50-6DEC70E4BDEA}">
  <sheetPr>
    <pageSetUpPr fitToPage="1"/>
  </sheetPr>
  <dimension ref="B1:L120"/>
  <sheetViews>
    <sheetView topLeftCell="D94" zoomScaleNormal="100" workbookViewId="0">
      <selection activeCell="J109" sqref="J109"/>
    </sheetView>
  </sheetViews>
  <sheetFormatPr defaultRowHeight="15" x14ac:dyDescent="0.25"/>
  <cols>
    <col min="2" max="2" width="5.140625" customWidth="1"/>
    <col min="3" max="3" width="3" bestFit="1" customWidth="1"/>
    <col min="4" max="4" width="4.5703125" bestFit="1" customWidth="1"/>
    <col min="5" max="5" width="5" bestFit="1" customWidth="1"/>
    <col min="6" max="6" width="60.140625" customWidth="1"/>
    <col min="7" max="7" width="14.7109375" bestFit="1" customWidth="1"/>
    <col min="8" max="8" width="11.7109375" bestFit="1" customWidth="1"/>
    <col min="9" max="9" width="14.7109375" customWidth="1"/>
    <col min="10" max="10" width="11.85546875" bestFit="1" customWidth="1"/>
    <col min="11" max="11" width="10.140625" style="67" bestFit="1" customWidth="1"/>
    <col min="12" max="12" width="14" bestFit="1" customWidth="1"/>
  </cols>
  <sheetData>
    <row r="1" spans="2:12" ht="26.25" customHeight="1" x14ac:dyDescent="0.25">
      <c r="B1" s="176" t="s">
        <v>20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2:12" ht="15.75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2:12" ht="15.75" x14ac:dyDescent="0.25">
      <c r="B3" s="147" t="s">
        <v>207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2:12" ht="21.75" customHeight="1" x14ac:dyDescent="0.25">
      <c r="B4" s="182" t="s">
        <v>33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2:12" ht="45" customHeight="1" x14ac:dyDescent="0.25">
      <c r="B5" s="152" t="s">
        <v>15</v>
      </c>
      <c r="C5" s="177"/>
      <c r="D5" s="177"/>
      <c r="E5" s="177"/>
      <c r="F5" s="178"/>
      <c r="G5" s="51" t="s">
        <v>205</v>
      </c>
      <c r="H5" s="51" t="s">
        <v>200</v>
      </c>
      <c r="I5" s="51" t="s">
        <v>201</v>
      </c>
      <c r="J5" s="51" t="s">
        <v>206</v>
      </c>
      <c r="K5" s="51" t="s">
        <v>202</v>
      </c>
      <c r="L5" s="51" t="s">
        <v>203</v>
      </c>
    </row>
    <row r="6" spans="2:12" ht="15.75" customHeight="1" x14ac:dyDescent="0.25">
      <c r="B6" s="149">
        <v>1</v>
      </c>
      <c r="C6" s="150"/>
      <c r="D6" s="150"/>
      <c r="E6" s="150"/>
      <c r="F6" s="151"/>
      <c r="G6" s="52">
        <v>2</v>
      </c>
      <c r="H6" s="52">
        <v>3</v>
      </c>
      <c r="I6" s="52">
        <v>4</v>
      </c>
      <c r="J6" s="52">
        <v>5</v>
      </c>
      <c r="K6" s="63" t="s">
        <v>86</v>
      </c>
      <c r="L6" s="52" t="s">
        <v>85</v>
      </c>
    </row>
    <row r="7" spans="2:12" ht="15.75" customHeight="1" x14ac:dyDescent="0.25">
      <c r="B7" s="9"/>
      <c r="C7" s="9"/>
      <c r="D7" s="9"/>
      <c r="E7" s="9"/>
      <c r="F7" s="9" t="s">
        <v>95</v>
      </c>
      <c r="G7" s="59">
        <f t="shared" ref="G7:H7" si="0">+G8</f>
        <v>2454512.69</v>
      </c>
      <c r="H7" s="59">
        <f t="shared" si="0"/>
        <v>2343804.17</v>
      </c>
      <c r="I7" s="59">
        <f>+I8</f>
        <v>2526077.5199999996</v>
      </c>
      <c r="J7" s="59">
        <f>+J8</f>
        <v>2524053.92</v>
      </c>
      <c r="K7" s="64">
        <f>J7/G7*100</f>
        <v>102.83319904123209</v>
      </c>
      <c r="L7" s="60">
        <f>J7/I7*100</f>
        <v>99.919891611243997</v>
      </c>
    </row>
    <row r="8" spans="2:12" x14ac:dyDescent="0.25">
      <c r="B8" s="9">
        <v>6</v>
      </c>
      <c r="C8" s="9"/>
      <c r="D8" s="9"/>
      <c r="E8" s="9"/>
      <c r="F8" s="9" t="s">
        <v>8</v>
      </c>
      <c r="G8" s="56">
        <f t="shared" ref="G8:I8" si="1">+G9+G13+G16+G19+G23</f>
        <v>2454512.69</v>
      </c>
      <c r="H8" s="56">
        <f t="shared" si="1"/>
        <v>2343804.17</v>
      </c>
      <c r="I8" s="56">
        <f t="shared" si="1"/>
        <v>2526077.5199999996</v>
      </c>
      <c r="J8" s="56">
        <f>+J9+J13+J16+J19+J23</f>
        <v>2524053.92</v>
      </c>
      <c r="K8" s="64">
        <f t="shared" ref="K8:K26" si="2">J8/G8*100</f>
        <v>102.83319904123209</v>
      </c>
      <c r="L8" s="60">
        <f t="shared" ref="L8:L23" si="3">J8/I8*100</f>
        <v>99.919891611243997</v>
      </c>
    </row>
    <row r="9" spans="2:12" s="68" customFormat="1" x14ac:dyDescent="0.25">
      <c r="B9" s="9"/>
      <c r="C9" s="9">
        <v>63</v>
      </c>
      <c r="D9" s="9"/>
      <c r="E9" s="9"/>
      <c r="F9" s="9" t="s">
        <v>28</v>
      </c>
      <c r="G9" s="59">
        <f t="shared" ref="G9" si="4">+G10</f>
        <v>15492.33</v>
      </c>
      <c r="H9" s="59">
        <v>1000</v>
      </c>
      <c r="I9" s="59">
        <f>97.45+17953.3</f>
        <v>18050.75</v>
      </c>
      <c r="J9" s="59">
        <f>+J10</f>
        <v>18550.75</v>
      </c>
      <c r="K9" s="64">
        <f>J9/G9*100</f>
        <v>119.74151079921485</v>
      </c>
      <c r="L9" s="60">
        <f t="shared" si="3"/>
        <v>102.76996800686953</v>
      </c>
    </row>
    <row r="10" spans="2:12" s="28" customFormat="1" ht="25.5" x14ac:dyDescent="0.25">
      <c r="B10" s="11"/>
      <c r="C10" s="11"/>
      <c r="D10" s="11">
        <v>636</v>
      </c>
      <c r="E10" s="11"/>
      <c r="F10" s="14" t="s">
        <v>97</v>
      </c>
      <c r="G10" s="58">
        <f t="shared" ref="G10" si="5">SUM(G11:G12)</f>
        <v>15492.33</v>
      </c>
      <c r="H10" s="58"/>
      <c r="I10" s="58"/>
      <c r="J10" s="58">
        <f>SUM(J11:J12)</f>
        <v>18550.75</v>
      </c>
      <c r="K10" s="66">
        <f t="shared" si="2"/>
        <v>119.74151079921485</v>
      </c>
      <c r="L10" s="62"/>
    </row>
    <row r="11" spans="2:12" ht="25.5" x14ac:dyDescent="0.25">
      <c r="B11" s="10"/>
      <c r="C11" s="10"/>
      <c r="D11" s="10"/>
      <c r="E11" s="10">
        <v>6361</v>
      </c>
      <c r="F11" s="53" t="s">
        <v>98</v>
      </c>
      <c r="G11" s="55">
        <v>351.58</v>
      </c>
      <c r="H11" s="44"/>
      <c r="I11" s="44"/>
      <c r="J11" s="55">
        <v>652.75</v>
      </c>
      <c r="K11" s="65">
        <f t="shared" si="2"/>
        <v>185.6618692758405</v>
      </c>
      <c r="L11" s="61"/>
    </row>
    <row r="12" spans="2:12" ht="25.5" x14ac:dyDescent="0.25">
      <c r="B12" s="10"/>
      <c r="C12" s="10"/>
      <c r="D12" s="11"/>
      <c r="E12" s="10">
        <v>6362</v>
      </c>
      <c r="F12" s="53" t="s">
        <v>99</v>
      </c>
      <c r="G12" s="55">
        <v>15140.75</v>
      </c>
      <c r="H12" s="44"/>
      <c r="I12" s="44"/>
      <c r="J12" s="55">
        <v>17898</v>
      </c>
      <c r="K12" s="65">
        <f t="shared" si="2"/>
        <v>118.21078876541785</v>
      </c>
      <c r="L12" s="61"/>
    </row>
    <row r="13" spans="2:12" s="68" customFormat="1" x14ac:dyDescent="0.25">
      <c r="B13" s="9"/>
      <c r="C13" s="9">
        <v>64</v>
      </c>
      <c r="D13" s="9"/>
      <c r="E13" s="9"/>
      <c r="F13" s="9" t="s">
        <v>40</v>
      </c>
      <c r="G13" s="59">
        <f t="shared" ref="G13" si="6">+G14</f>
        <v>81.37</v>
      </c>
      <c r="H13" s="59">
        <v>50</v>
      </c>
      <c r="I13" s="59">
        <v>40.49</v>
      </c>
      <c r="J13" s="59">
        <f>+J14</f>
        <v>40.49</v>
      </c>
      <c r="K13" s="64">
        <f t="shared" si="2"/>
        <v>49.760353938798083</v>
      </c>
      <c r="L13" s="60">
        <f t="shared" si="3"/>
        <v>100</v>
      </c>
    </row>
    <row r="14" spans="2:12" s="28" customFormat="1" x14ac:dyDescent="0.25">
      <c r="B14" s="11"/>
      <c r="C14" s="11"/>
      <c r="D14" s="11">
        <v>641</v>
      </c>
      <c r="E14" s="11"/>
      <c r="F14" s="14" t="s">
        <v>100</v>
      </c>
      <c r="G14" s="58">
        <f t="shared" ref="G14" si="7">SUM(G15)</f>
        <v>81.37</v>
      </c>
      <c r="H14" s="58"/>
      <c r="I14" s="58"/>
      <c r="J14" s="58">
        <f>SUM(J15)</f>
        <v>40.49</v>
      </c>
      <c r="K14" s="66">
        <f t="shared" si="2"/>
        <v>49.760353938798083</v>
      </c>
      <c r="L14" s="62"/>
    </row>
    <row r="15" spans="2:12" ht="25.5" x14ac:dyDescent="0.25">
      <c r="B15" s="10"/>
      <c r="C15" s="10"/>
      <c r="D15" s="10"/>
      <c r="E15" s="10">
        <v>6413</v>
      </c>
      <c r="F15" s="53" t="s">
        <v>101</v>
      </c>
      <c r="G15" s="55">
        <v>81.37</v>
      </c>
      <c r="H15" s="44"/>
      <c r="I15" s="44"/>
      <c r="J15" s="55">
        <v>40.49</v>
      </c>
      <c r="K15" s="65">
        <f>J15/G15*100</f>
        <v>49.760353938798083</v>
      </c>
      <c r="L15" s="61"/>
    </row>
    <row r="16" spans="2:12" s="68" customFormat="1" ht="25.5" x14ac:dyDescent="0.25">
      <c r="B16" s="9"/>
      <c r="C16" s="9">
        <v>65</v>
      </c>
      <c r="D16" s="9"/>
      <c r="E16" s="9"/>
      <c r="F16" s="9" t="s">
        <v>102</v>
      </c>
      <c r="G16" s="59">
        <f t="shared" ref="G16" si="8">+G17</f>
        <v>971077.41</v>
      </c>
      <c r="H16" s="59">
        <v>1100000</v>
      </c>
      <c r="I16" s="59">
        <f>519.21+1180000</f>
        <v>1180519.21</v>
      </c>
      <c r="J16" s="59">
        <f>+J17</f>
        <v>1175316.1100000001</v>
      </c>
      <c r="K16" s="64">
        <f t="shared" si="2"/>
        <v>121.0321749735688</v>
      </c>
      <c r="L16" s="60">
        <f t="shared" si="3"/>
        <v>99.559253254337136</v>
      </c>
    </row>
    <row r="17" spans="2:12" s="28" customFormat="1" x14ac:dyDescent="0.25">
      <c r="B17" s="11"/>
      <c r="C17" s="11"/>
      <c r="D17" s="11">
        <v>652</v>
      </c>
      <c r="E17" s="11"/>
      <c r="F17" s="14" t="s">
        <v>103</v>
      </c>
      <c r="G17" s="58">
        <f t="shared" ref="G17" si="9">SUM(G18)</f>
        <v>971077.41</v>
      </c>
      <c r="H17" s="58"/>
      <c r="I17" s="58"/>
      <c r="J17" s="58">
        <f>SUM(J18)</f>
        <v>1175316.1100000001</v>
      </c>
      <c r="K17" s="66">
        <f t="shared" si="2"/>
        <v>121.0321749735688</v>
      </c>
      <c r="L17" s="62"/>
    </row>
    <row r="18" spans="2:12" x14ac:dyDescent="0.25">
      <c r="B18" s="10"/>
      <c r="C18" s="10"/>
      <c r="D18" s="10"/>
      <c r="E18" s="10">
        <v>6526</v>
      </c>
      <c r="F18" s="53" t="s">
        <v>104</v>
      </c>
      <c r="G18" s="55">
        <v>971077.41</v>
      </c>
      <c r="H18" s="44"/>
      <c r="I18" s="44"/>
      <c r="J18" s="55">
        <v>1175316.1100000001</v>
      </c>
      <c r="K18" s="65">
        <f t="shared" si="2"/>
        <v>121.0321749735688</v>
      </c>
      <c r="L18" s="61"/>
    </row>
    <row r="19" spans="2:12" s="68" customFormat="1" ht="25.5" x14ac:dyDescent="0.25">
      <c r="B19" s="21"/>
      <c r="C19" s="21">
        <v>66</v>
      </c>
      <c r="D19" s="57"/>
      <c r="E19" s="57"/>
      <c r="F19" s="9" t="s">
        <v>105</v>
      </c>
      <c r="G19" s="59">
        <f t="shared" ref="G19" si="10">+G20</f>
        <v>18740.73</v>
      </c>
      <c r="H19" s="59">
        <v>1000</v>
      </c>
      <c r="I19" s="59">
        <v>1712.9</v>
      </c>
      <c r="J19" s="59">
        <f>+J20</f>
        <v>5086.0200000000004</v>
      </c>
      <c r="K19" s="64">
        <f t="shared" si="2"/>
        <v>27.138857451123837</v>
      </c>
      <c r="L19" s="60">
        <f t="shared" si="3"/>
        <v>296.92451398213558</v>
      </c>
    </row>
    <row r="20" spans="2:12" s="28" customFormat="1" ht="25.5" x14ac:dyDescent="0.25">
      <c r="B20" s="11"/>
      <c r="C20" s="57"/>
      <c r="D20" s="11">
        <v>663</v>
      </c>
      <c r="E20" s="11"/>
      <c r="F20" s="15" t="s">
        <v>106</v>
      </c>
      <c r="G20" s="58">
        <f>SUM(G21:G22)</f>
        <v>18740.73</v>
      </c>
      <c r="H20" s="58"/>
      <c r="I20" s="58"/>
      <c r="J20" s="58">
        <f t="shared" ref="J20" si="11">SUM(J21:J22)</f>
        <v>5086.0200000000004</v>
      </c>
      <c r="K20" s="66">
        <f t="shared" si="2"/>
        <v>27.138857451123837</v>
      </c>
      <c r="L20" s="62"/>
    </row>
    <row r="21" spans="2:12" x14ac:dyDescent="0.25">
      <c r="B21" s="10"/>
      <c r="C21" s="21"/>
      <c r="D21" s="10"/>
      <c r="E21" s="10">
        <v>6631</v>
      </c>
      <c r="F21" s="13" t="s">
        <v>107</v>
      </c>
      <c r="G21" s="44">
        <v>8608.2099999999991</v>
      </c>
      <c r="H21" s="44"/>
      <c r="I21" s="44"/>
      <c r="J21" s="55">
        <v>5086.0200000000004</v>
      </c>
      <c r="K21" s="65">
        <f t="shared" si="2"/>
        <v>59.083363440250658</v>
      </c>
      <c r="L21" s="61"/>
    </row>
    <row r="22" spans="2:12" x14ac:dyDescent="0.25">
      <c r="B22" s="10"/>
      <c r="C22" s="21"/>
      <c r="D22" s="10"/>
      <c r="E22" s="10">
        <v>6632</v>
      </c>
      <c r="F22" s="13" t="s">
        <v>111</v>
      </c>
      <c r="G22" s="44">
        <v>10132.52</v>
      </c>
      <c r="H22" s="44"/>
      <c r="I22" s="44"/>
      <c r="J22" s="55"/>
      <c r="K22" s="65">
        <f t="shared" ref="K22" si="12">J22/G22*100</f>
        <v>0</v>
      </c>
      <c r="L22" s="61"/>
    </row>
    <row r="23" spans="2:12" s="68" customFormat="1" ht="25.5" x14ac:dyDescent="0.25">
      <c r="B23" s="21"/>
      <c r="C23" s="21">
        <v>67</v>
      </c>
      <c r="D23" s="57"/>
      <c r="E23" s="57"/>
      <c r="F23" s="9" t="s">
        <v>30</v>
      </c>
      <c r="G23" s="59">
        <f t="shared" ref="G23" si="13">G24</f>
        <v>1449120.85</v>
      </c>
      <c r="H23" s="59">
        <f>565680+607952+41945+19908+6269.17</f>
        <v>1241754.17</v>
      </c>
      <c r="I23" s="59">
        <f>649680+607952+30000+11945+19908+6269.17</f>
        <v>1325754.17</v>
      </c>
      <c r="J23" s="59">
        <f>J24</f>
        <v>1325060.55</v>
      </c>
      <c r="K23" s="64">
        <f t="shared" si="2"/>
        <v>91.438926573998287</v>
      </c>
      <c r="L23" s="60">
        <f t="shared" si="3"/>
        <v>99.947681099882956</v>
      </c>
    </row>
    <row r="24" spans="2:12" s="28" customFormat="1" ht="25.5" x14ac:dyDescent="0.25">
      <c r="B24" s="11"/>
      <c r="C24" s="57"/>
      <c r="D24" s="11">
        <v>671</v>
      </c>
      <c r="E24" s="11"/>
      <c r="F24" s="15" t="s">
        <v>108</v>
      </c>
      <c r="G24" s="58">
        <f t="shared" ref="G24" si="14">SUM(G25:G26)</f>
        <v>1449120.85</v>
      </c>
      <c r="H24" s="58"/>
      <c r="I24" s="58"/>
      <c r="J24" s="58">
        <f>SUM(J25:J26)</f>
        <v>1325060.55</v>
      </c>
      <c r="K24" s="66">
        <f t="shared" si="2"/>
        <v>91.438926573998287</v>
      </c>
      <c r="L24" s="62"/>
    </row>
    <row r="25" spans="2:12" x14ac:dyDescent="0.25">
      <c r="B25" s="10"/>
      <c r="C25" s="21"/>
      <c r="D25" s="10"/>
      <c r="E25" s="10">
        <v>6711</v>
      </c>
      <c r="F25" s="13" t="s">
        <v>109</v>
      </c>
      <c r="G25" s="55">
        <v>1294767.8500000001</v>
      </c>
      <c r="H25" s="44"/>
      <c r="I25" s="44"/>
      <c r="J25" s="55">
        <v>1265152.25</v>
      </c>
      <c r="K25" s="65">
        <f t="shared" si="2"/>
        <v>97.712671039831577</v>
      </c>
      <c r="L25" s="61"/>
    </row>
    <row r="26" spans="2:12" x14ac:dyDescent="0.25">
      <c r="B26" s="10"/>
      <c r="C26" s="10"/>
      <c r="D26" s="10"/>
      <c r="E26" s="10">
        <v>6712</v>
      </c>
      <c r="F26" s="13" t="s">
        <v>110</v>
      </c>
      <c r="G26" s="55">
        <v>154353</v>
      </c>
      <c r="H26" s="44"/>
      <c r="I26" s="44"/>
      <c r="J26" s="55">
        <v>59908.3</v>
      </c>
      <c r="K26" s="65">
        <f t="shared" si="2"/>
        <v>38.812527129372285</v>
      </c>
      <c r="L26" s="61"/>
    </row>
    <row r="27" spans="2:12" x14ac:dyDescent="0.25">
      <c r="B27" s="71"/>
      <c r="C27" s="71"/>
      <c r="D27" s="71"/>
      <c r="E27" s="71"/>
      <c r="F27" s="72"/>
      <c r="G27" s="73"/>
      <c r="H27" s="73"/>
      <c r="I27" s="73"/>
      <c r="J27" s="74"/>
      <c r="K27" s="75"/>
      <c r="L27" s="76"/>
    </row>
    <row r="28" spans="2:12" ht="45" customHeight="1" x14ac:dyDescent="0.25">
      <c r="B28" s="152" t="s">
        <v>15</v>
      </c>
      <c r="C28" s="177"/>
      <c r="D28" s="177"/>
      <c r="E28" s="177"/>
      <c r="F28" s="178"/>
      <c r="G28" s="51" t="s">
        <v>205</v>
      </c>
      <c r="H28" s="51" t="s">
        <v>200</v>
      </c>
      <c r="I28" s="51" t="s">
        <v>201</v>
      </c>
      <c r="J28" s="51" t="s">
        <v>206</v>
      </c>
      <c r="K28" s="51" t="s">
        <v>202</v>
      </c>
      <c r="L28" s="51" t="s">
        <v>203</v>
      </c>
    </row>
    <row r="29" spans="2:12" x14ac:dyDescent="0.25">
      <c r="B29" s="149">
        <v>1</v>
      </c>
      <c r="C29" s="150"/>
      <c r="D29" s="150"/>
      <c r="E29" s="150"/>
      <c r="F29" s="151"/>
      <c r="G29" s="52">
        <v>2</v>
      </c>
      <c r="H29" s="52">
        <v>3</v>
      </c>
      <c r="I29" s="52">
        <v>4</v>
      </c>
      <c r="J29" s="52">
        <v>5</v>
      </c>
      <c r="K29" s="63" t="s">
        <v>86</v>
      </c>
      <c r="L29" s="52" t="s">
        <v>85</v>
      </c>
    </row>
    <row r="30" spans="2:12" x14ac:dyDescent="0.25">
      <c r="B30" s="21"/>
      <c r="C30" s="21">
        <v>92</v>
      </c>
      <c r="D30" s="57"/>
      <c r="E30" s="57"/>
      <c r="F30" s="9" t="s">
        <v>84</v>
      </c>
      <c r="G30" s="59">
        <f t="shared" ref="G30" si="15">G31</f>
        <v>6834.37</v>
      </c>
      <c r="H30" s="59">
        <v>0</v>
      </c>
      <c r="I30" s="59">
        <v>555.62</v>
      </c>
      <c r="J30" s="59">
        <f>J31</f>
        <v>555.62</v>
      </c>
      <c r="K30" s="64">
        <f t="shared" ref="K30:K33" si="16">J30/G30*100</f>
        <v>8.1297910414566381</v>
      </c>
      <c r="L30" s="60">
        <f>J30/I30*100</f>
        <v>100</v>
      </c>
    </row>
    <row r="31" spans="2:12" x14ac:dyDescent="0.25">
      <c r="B31" s="11"/>
      <c r="C31" s="57"/>
      <c r="D31" s="11">
        <v>922</v>
      </c>
      <c r="E31" s="11"/>
      <c r="F31" s="15" t="s">
        <v>168</v>
      </c>
      <c r="G31" s="58">
        <f>SUM(G32)</f>
        <v>6834.37</v>
      </c>
      <c r="H31" s="58"/>
      <c r="I31" s="58"/>
      <c r="J31" s="58">
        <f>J32</f>
        <v>555.62</v>
      </c>
      <c r="K31" s="66">
        <f t="shared" si="16"/>
        <v>8.1297910414566381</v>
      </c>
      <c r="L31" s="62"/>
    </row>
    <row r="32" spans="2:12" x14ac:dyDescent="0.25">
      <c r="B32" s="10"/>
      <c r="C32" s="21"/>
      <c r="D32" s="10"/>
      <c r="E32" s="10">
        <v>9221</v>
      </c>
      <c r="F32" s="13" t="s">
        <v>169</v>
      </c>
      <c r="G32" s="55">
        <v>6834.37</v>
      </c>
      <c r="H32" s="44"/>
      <c r="I32" s="44"/>
      <c r="J32" s="55">
        <v>555.62</v>
      </c>
      <c r="K32" s="65">
        <f t="shared" si="16"/>
        <v>8.1297910414566381</v>
      </c>
      <c r="L32" s="61"/>
    </row>
    <row r="33" spans="2:12" x14ac:dyDescent="0.25">
      <c r="B33" s="179" t="s">
        <v>172</v>
      </c>
      <c r="C33" s="180"/>
      <c r="D33" s="180"/>
      <c r="E33" s="180"/>
      <c r="F33" s="181"/>
      <c r="G33" s="39">
        <f>+G30+G7</f>
        <v>2461347.06</v>
      </c>
      <c r="H33" s="39">
        <f t="shared" ref="H33:J33" si="17">+H30+H7</f>
        <v>2343804.17</v>
      </c>
      <c r="I33" s="39">
        <f t="shared" si="17"/>
        <v>2526633.1399999997</v>
      </c>
      <c r="J33" s="39">
        <f t="shared" si="17"/>
        <v>2524609.54</v>
      </c>
      <c r="K33" s="79">
        <f t="shared" si="16"/>
        <v>102.57023810368295</v>
      </c>
      <c r="L33" s="80">
        <f>J33/I33*100</f>
        <v>99.919909227502671</v>
      </c>
    </row>
    <row r="34" spans="2:12" ht="23.25" customHeight="1" x14ac:dyDescent="0.25">
      <c r="B34" s="71"/>
      <c r="C34" s="71"/>
      <c r="D34" s="71"/>
      <c r="E34" s="71"/>
      <c r="F34" s="72"/>
      <c r="G34" s="73"/>
      <c r="H34" s="73"/>
      <c r="I34" s="73"/>
      <c r="J34" s="74"/>
      <c r="K34" s="75"/>
      <c r="L34" s="76"/>
    </row>
    <row r="35" spans="2:12" ht="18" x14ac:dyDescent="0.25"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</row>
    <row r="36" spans="2:12" ht="41.25" customHeight="1" x14ac:dyDescent="0.25">
      <c r="B36" s="152" t="s">
        <v>15</v>
      </c>
      <c r="C36" s="177"/>
      <c r="D36" s="177"/>
      <c r="E36" s="177"/>
      <c r="F36" s="178"/>
      <c r="G36" s="51" t="s">
        <v>205</v>
      </c>
      <c r="H36" s="51" t="s">
        <v>200</v>
      </c>
      <c r="I36" s="51" t="s">
        <v>201</v>
      </c>
      <c r="J36" s="51" t="s">
        <v>206</v>
      </c>
      <c r="K36" s="51" t="s">
        <v>202</v>
      </c>
      <c r="L36" s="51" t="s">
        <v>203</v>
      </c>
    </row>
    <row r="37" spans="2:12" x14ac:dyDescent="0.25">
      <c r="B37" s="149">
        <v>1</v>
      </c>
      <c r="C37" s="150"/>
      <c r="D37" s="150"/>
      <c r="E37" s="150"/>
      <c r="F37" s="151"/>
      <c r="G37" s="52">
        <v>2</v>
      </c>
      <c r="H37" s="52">
        <v>3</v>
      </c>
      <c r="I37" s="52">
        <v>4</v>
      </c>
      <c r="J37" s="52">
        <v>5</v>
      </c>
      <c r="K37" s="63" t="s">
        <v>86</v>
      </c>
      <c r="L37" s="52" t="s">
        <v>85</v>
      </c>
    </row>
    <row r="38" spans="2:12" x14ac:dyDescent="0.25">
      <c r="B38" s="9"/>
      <c r="C38" s="9"/>
      <c r="D38" s="9"/>
      <c r="E38" s="9"/>
      <c r="F38" s="9" t="s">
        <v>90</v>
      </c>
      <c r="G38" s="81">
        <f>+G39+G89</f>
        <v>2453957.0700000003</v>
      </c>
      <c r="H38" s="81">
        <f t="shared" ref="H38:J38" si="18">+H39+H89</f>
        <v>2343804.17</v>
      </c>
      <c r="I38" s="81">
        <f t="shared" si="18"/>
        <v>2526077.5200000005</v>
      </c>
      <c r="J38" s="81">
        <f t="shared" si="18"/>
        <v>2588792.85</v>
      </c>
      <c r="K38" s="64">
        <f>J38/G38*100</f>
        <v>105.49462668472842</v>
      </c>
      <c r="L38" s="64">
        <f>J38/I38*100</f>
        <v>102.48271596985667</v>
      </c>
    </row>
    <row r="39" spans="2:12" s="68" customFormat="1" x14ac:dyDescent="0.25">
      <c r="B39" s="9">
        <v>3</v>
      </c>
      <c r="C39" s="9"/>
      <c r="D39" s="9"/>
      <c r="E39" s="9"/>
      <c r="F39" s="9" t="s">
        <v>10</v>
      </c>
      <c r="G39" s="81">
        <f>+G40+G48+G80+G86</f>
        <v>2274330.8000000003</v>
      </c>
      <c r="H39" s="81">
        <f>+H40+H48+H80+H86</f>
        <v>2281951.17</v>
      </c>
      <c r="I39" s="81">
        <f t="shared" ref="I39:J39" si="19">+I40+I48+I80+I86</f>
        <v>2448215.9200000004</v>
      </c>
      <c r="J39" s="81">
        <f t="shared" si="19"/>
        <v>2510986.5500000003</v>
      </c>
      <c r="K39" s="64">
        <f t="shared" ref="K39:K89" si="20">J39/G39*100</f>
        <v>110.40551137064143</v>
      </c>
      <c r="L39" s="64">
        <f t="shared" ref="L39:L40" si="21">J39/I39*100</f>
        <v>102.56393357657767</v>
      </c>
    </row>
    <row r="40" spans="2:12" s="68" customFormat="1" x14ac:dyDescent="0.25">
      <c r="B40" s="9"/>
      <c r="C40" s="9">
        <v>31</v>
      </c>
      <c r="D40" s="9"/>
      <c r="E40" s="9"/>
      <c r="F40" s="9" t="s">
        <v>11</v>
      </c>
      <c r="G40" s="81">
        <f>+G41+G44+G46</f>
        <v>1828052.07</v>
      </c>
      <c r="H40" s="81">
        <f>515000+500000+835000</f>
        <v>1850000</v>
      </c>
      <c r="I40" s="81">
        <f>84000+54400+1850000</f>
        <v>1988400</v>
      </c>
      <c r="J40" s="81">
        <f t="shared" ref="J40" si="22">+J41+J44+J46</f>
        <v>2045296.49</v>
      </c>
      <c r="K40" s="64">
        <f t="shared" si="20"/>
        <v>111.883929542554</v>
      </c>
      <c r="L40" s="64">
        <f t="shared" si="21"/>
        <v>102.8614207402937</v>
      </c>
    </row>
    <row r="41" spans="2:12" s="28" customFormat="1" x14ac:dyDescent="0.25">
      <c r="B41" s="11"/>
      <c r="C41" s="11"/>
      <c r="D41" s="11">
        <v>311</v>
      </c>
      <c r="E41" s="11"/>
      <c r="F41" s="11" t="s">
        <v>94</v>
      </c>
      <c r="G41" s="82">
        <f>SUM(G42:G43)</f>
        <v>1500937.69</v>
      </c>
      <c r="H41" s="82"/>
      <c r="I41" s="82"/>
      <c r="J41" s="82">
        <f>SUM(J42:J43)</f>
        <v>1671743.34</v>
      </c>
      <c r="K41" s="66">
        <f t="shared" si="20"/>
        <v>111.37992943597811</v>
      </c>
      <c r="L41" s="66"/>
    </row>
    <row r="42" spans="2:12" x14ac:dyDescent="0.25">
      <c r="B42" s="10"/>
      <c r="C42" s="10"/>
      <c r="D42" s="10"/>
      <c r="E42" s="10">
        <v>3111</v>
      </c>
      <c r="F42" s="10" t="s">
        <v>93</v>
      </c>
      <c r="G42" s="44">
        <v>1332127.3</v>
      </c>
      <c r="H42" s="44"/>
      <c r="I42" s="44"/>
      <c r="J42" s="44">
        <v>1474411.59</v>
      </c>
      <c r="K42" s="65">
        <f>J42/G42*100</f>
        <v>110.68098296611744</v>
      </c>
      <c r="L42" s="65"/>
    </row>
    <row r="43" spans="2:12" x14ac:dyDescent="0.25">
      <c r="B43" s="10"/>
      <c r="C43" s="10"/>
      <c r="D43" s="10"/>
      <c r="E43" s="10">
        <v>3114</v>
      </c>
      <c r="F43" s="10" t="s">
        <v>112</v>
      </c>
      <c r="G43" s="44">
        <v>168810.39</v>
      </c>
      <c r="H43" s="44"/>
      <c r="I43" s="44"/>
      <c r="J43" s="44">
        <v>197331.75</v>
      </c>
      <c r="K43" s="65">
        <f>J43/G43*100</f>
        <v>116.89550033028181</v>
      </c>
      <c r="L43" s="65"/>
    </row>
    <row r="44" spans="2:12" s="28" customFormat="1" x14ac:dyDescent="0.25">
      <c r="B44" s="11"/>
      <c r="C44" s="11"/>
      <c r="D44" s="11">
        <v>312</v>
      </c>
      <c r="E44" s="11"/>
      <c r="F44" s="11" t="s">
        <v>113</v>
      </c>
      <c r="G44" s="82">
        <f>G45</f>
        <v>80217.8</v>
      </c>
      <c r="H44" s="82"/>
      <c r="I44" s="82"/>
      <c r="J44" s="82">
        <f>SUM(J45)</f>
        <v>97816.71</v>
      </c>
      <c r="K44" s="66">
        <f t="shared" si="20"/>
        <v>121.93890882073555</v>
      </c>
      <c r="L44" s="66"/>
    </row>
    <row r="45" spans="2:12" x14ac:dyDescent="0.25">
      <c r="B45" s="10"/>
      <c r="C45" s="10"/>
      <c r="D45" s="10"/>
      <c r="E45" s="10">
        <v>3121</v>
      </c>
      <c r="F45" s="10" t="s">
        <v>113</v>
      </c>
      <c r="G45" s="44">
        <v>80217.8</v>
      </c>
      <c r="H45" s="44"/>
      <c r="I45" s="44"/>
      <c r="J45" s="44">
        <v>97816.71</v>
      </c>
      <c r="K45" s="65">
        <f t="shared" si="20"/>
        <v>121.93890882073555</v>
      </c>
      <c r="L45" s="65"/>
    </row>
    <row r="46" spans="2:12" s="28" customFormat="1" x14ac:dyDescent="0.25">
      <c r="B46" s="11"/>
      <c r="C46" s="11"/>
      <c r="D46" s="11">
        <v>313</v>
      </c>
      <c r="E46" s="69"/>
      <c r="F46" s="11" t="s">
        <v>147</v>
      </c>
      <c r="G46" s="82">
        <f>SUM(G47)</f>
        <v>246896.58</v>
      </c>
      <c r="H46" s="82"/>
      <c r="I46" s="82"/>
      <c r="J46" s="82">
        <f t="shared" ref="J46" si="23">SUM(J47)</f>
        <v>275736.44</v>
      </c>
      <c r="K46" s="66">
        <f t="shared" si="20"/>
        <v>111.68094754491942</v>
      </c>
      <c r="L46" s="66"/>
    </row>
    <row r="47" spans="2:12" x14ac:dyDescent="0.25">
      <c r="B47" s="10"/>
      <c r="C47" s="10"/>
      <c r="D47" s="10"/>
      <c r="E47" s="10">
        <v>3132</v>
      </c>
      <c r="F47" s="10" t="s">
        <v>114</v>
      </c>
      <c r="G47" s="44">
        <v>246896.58</v>
      </c>
      <c r="H47" s="44"/>
      <c r="I47" s="44"/>
      <c r="J47" s="44">
        <v>275736.44</v>
      </c>
      <c r="K47" s="65">
        <f t="shared" si="20"/>
        <v>111.68094754491942</v>
      </c>
      <c r="L47" s="65"/>
    </row>
    <row r="48" spans="2:12" s="68" customFormat="1" x14ac:dyDescent="0.25">
      <c r="B48" s="21"/>
      <c r="C48" s="21">
        <v>32</v>
      </c>
      <c r="D48" s="57"/>
      <c r="E48" s="57"/>
      <c r="F48" s="21" t="s">
        <v>23</v>
      </c>
      <c r="G48" s="81">
        <f>+G49+G54+G62+G72-G112</f>
        <v>435046.16</v>
      </c>
      <c r="H48" s="81">
        <f>50680+107452+257000+1000+6269.17+1000</f>
        <v>423401.17</v>
      </c>
      <c r="I48" s="81">
        <f>423401.17+519.21+23500-902.55+1712.9+1944.7-1000</f>
        <v>449175.43000000005</v>
      </c>
      <c r="J48" s="81">
        <f>+J49+J54+J62+J72-J112</f>
        <v>455152.30000000005</v>
      </c>
      <c r="K48" s="64">
        <f t="shared" si="20"/>
        <v>104.62161072746856</v>
      </c>
      <c r="L48" s="64">
        <f>J48/I48*100</f>
        <v>101.33063155302149</v>
      </c>
    </row>
    <row r="49" spans="2:12" s="28" customFormat="1" x14ac:dyDescent="0.25">
      <c r="B49" s="11"/>
      <c r="C49" s="11"/>
      <c r="D49" s="11">
        <v>321</v>
      </c>
      <c r="E49" s="11"/>
      <c r="F49" s="11" t="s">
        <v>92</v>
      </c>
      <c r="G49" s="82">
        <f>SUM(G50:G53)</f>
        <v>46605.04</v>
      </c>
      <c r="H49" s="82"/>
      <c r="I49" s="82"/>
      <c r="J49" s="82">
        <f>SUM(J50:J53)</f>
        <v>50609.270000000004</v>
      </c>
      <c r="K49" s="66">
        <f t="shared" si="20"/>
        <v>108.59183899423755</v>
      </c>
      <c r="L49" s="66"/>
    </row>
    <row r="50" spans="2:12" x14ac:dyDescent="0.25">
      <c r="B50" s="10"/>
      <c r="C50" s="10"/>
      <c r="D50" s="10"/>
      <c r="E50" s="10">
        <v>3211</v>
      </c>
      <c r="F50" s="10" t="s">
        <v>91</v>
      </c>
      <c r="G50" s="44">
        <v>468.6</v>
      </c>
      <c r="H50" s="44"/>
      <c r="I50" s="44"/>
      <c r="J50" s="44">
        <v>0</v>
      </c>
      <c r="K50" s="65">
        <f>J50/G50*100</f>
        <v>0</v>
      </c>
      <c r="L50" s="66"/>
    </row>
    <row r="51" spans="2:12" x14ac:dyDescent="0.25">
      <c r="B51" s="10"/>
      <c r="C51" s="10"/>
      <c r="D51" s="10"/>
      <c r="E51" s="10">
        <v>3212</v>
      </c>
      <c r="F51" s="10" t="s">
        <v>115</v>
      </c>
      <c r="G51" s="44">
        <v>43125.22</v>
      </c>
      <c r="H51" s="44"/>
      <c r="I51" s="44"/>
      <c r="J51" s="44">
        <v>48754.93</v>
      </c>
      <c r="K51" s="65">
        <f t="shared" ref="K51:K53" si="24">J51/G51*100</f>
        <v>113.05433340398032</v>
      </c>
      <c r="L51" s="65"/>
    </row>
    <row r="52" spans="2:12" x14ac:dyDescent="0.25">
      <c r="B52" s="10"/>
      <c r="C52" s="10"/>
      <c r="D52" s="10"/>
      <c r="E52" s="10">
        <v>3213</v>
      </c>
      <c r="F52" s="10" t="s">
        <v>116</v>
      </c>
      <c r="G52" s="44">
        <v>1241.0999999999999</v>
      </c>
      <c r="H52" s="44"/>
      <c r="I52" s="44"/>
      <c r="J52" s="44">
        <v>232.41</v>
      </c>
      <c r="K52" s="65">
        <f t="shared" si="24"/>
        <v>18.726130045927</v>
      </c>
      <c r="L52" s="65"/>
    </row>
    <row r="53" spans="2:12" x14ac:dyDescent="0.25">
      <c r="B53" s="10"/>
      <c r="C53" s="10"/>
      <c r="D53" s="10"/>
      <c r="E53" s="10">
        <v>3214</v>
      </c>
      <c r="F53" s="10" t="s">
        <v>117</v>
      </c>
      <c r="G53" s="44">
        <v>1770.12</v>
      </c>
      <c r="H53" s="44"/>
      <c r="I53" s="44"/>
      <c r="J53" s="44">
        <v>1621.93</v>
      </c>
      <c r="K53" s="65">
        <f t="shared" si="24"/>
        <v>91.628251192009586</v>
      </c>
      <c r="L53" s="65"/>
    </row>
    <row r="54" spans="2:12" s="28" customFormat="1" x14ac:dyDescent="0.25">
      <c r="B54" s="11"/>
      <c r="C54" s="11"/>
      <c r="D54" s="11">
        <v>322</v>
      </c>
      <c r="E54" s="11"/>
      <c r="F54" s="11" t="s">
        <v>148</v>
      </c>
      <c r="G54" s="82">
        <f>SUM(G55:G61)</f>
        <v>275555.89</v>
      </c>
      <c r="H54" s="82"/>
      <c r="I54" s="82"/>
      <c r="J54" s="82">
        <f t="shared" ref="J54" si="25">SUM(J55:J61)</f>
        <v>290262.26</v>
      </c>
      <c r="K54" s="66">
        <f t="shared" si="20"/>
        <v>105.33698263535575</v>
      </c>
      <c r="L54" s="66"/>
    </row>
    <row r="55" spans="2:12" x14ac:dyDescent="0.25">
      <c r="B55" s="10"/>
      <c r="C55" s="10"/>
      <c r="D55" s="10"/>
      <c r="E55" s="10">
        <v>3221</v>
      </c>
      <c r="F55" s="10" t="s">
        <v>118</v>
      </c>
      <c r="G55" s="44">
        <v>18411.34</v>
      </c>
      <c r="H55" s="44"/>
      <c r="I55" s="44"/>
      <c r="J55" s="44">
        <v>21424.03</v>
      </c>
      <c r="K55" s="65">
        <f>J55/G55*100</f>
        <v>116.36323048729749</v>
      </c>
      <c r="L55" s="65"/>
    </row>
    <row r="56" spans="2:12" x14ac:dyDescent="0.25">
      <c r="B56" s="10"/>
      <c r="C56" s="10"/>
      <c r="D56" s="10"/>
      <c r="E56" s="10">
        <v>3222</v>
      </c>
      <c r="F56" s="10" t="s">
        <v>119</v>
      </c>
      <c r="G56" s="44">
        <v>179239.88</v>
      </c>
      <c r="H56" s="44"/>
      <c r="I56" s="44"/>
      <c r="J56" s="44">
        <v>185663.62</v>
      </c>
      <c r="K56" s="65">
        <f t="shared" ref="K56:K61" si="26">J56/G56*100</f>
        <v>103.58387876626563</v>
      </c>
      <c r="L56" s="65"/>
    </row>
    <row r="57" spans="2:12" x14ac:dyDescent="0.25">
      <c r="B57" s="10"/>
      <c r="C57" s="10"/>
      <c r="D57" s="10"/>
      <c r="E57" s="10">
        <v>3223</v>
      </c>
      <c r="F57" s="10" t="s">
        <v>120</v>
      </c>
      <c r="G57" s="44">
        <v>65068.27</v>
      </c>
      <c r="H57" s="44"/>
      <c r="I57" s="44"/>
      <c r="J57" s="44">
        <v>69116.490000000005</v>
      </c>
      <c r="K57" s="65">
        <f t="shared" si="26"/>
        <v>106.22149628382623</v>
      </c>
      <c r="L57" s="65"/>
    </row>
    <row r="58" spans="2:12" x14ac:dyDescent="0.25">
      <c r="B58" s="10"/>
      <c r="C58" s="10"/>
      <c r="D58" s="10"/>
      <c r="E58" s="10">
        <v>3224</v>
      </c>
      <c r="F58" s="10" t="s">
        <v>121</v>
      </c>
      <c r="G58" s="44">
        <v>1289.31</v>
      </c>
      <c r="H58" s="44"/>
      <c r="I58" s="44"/>
      <c r="J58" s="44">
        <v>5082.6400000000003</v>
      </c>
      <c r="K58" s="65">
        <f t="shared" si="26"/>
        <v>394.21395940464288</v>
      </c>
      <c r="L58" s="65"/>
    </row>
    <row r="59" spans="2:12" x14ac:dyDescent="0.25">
      <c r="B59" s="10"/>
      <c r="C59" s="10"/>
      <c r="D59" s="10"/>
      <c r="E59" s="10">
        <v>3225</v>
      </c>
      <c r="F59" s="10" t="s">
        <v>122</v>
      </c>
      <c r="G59" s="44">
        <v>8190.03</v>
      </c>
      <c r="H59" s="44"/>
      <c r="I59" s="44"/>
      <c r="J59" s="44">
        <v>4668.42</v>
      </c>
      <c r="K59" s="65">
        <f t="shared" si="26"/>
        <v>57.001256405654196</v>
      </c>
      <c r="L59" s="65"/>
    </row>
    <row r="60" spans="2:12" x14ac:dyDescent="0.25">
      <c r="B60" s="10"/>
      <c r="C60" s="10"/>
      <c r="D60" s="10"/>
      <c r="E60" s="10">
        <v>3226</v>
      </c>
      <c r="F60" s="10" t="s">
        <v>123</v>
      </c>
      <c r="G60" s="44">
        <v>0</v>
      </c>
      <c r="H60" s="44"/>
      <c r="I60" s="44"/>
      <c r="J60" s="44">
        <v>0</v>
      </c>
      <c r="K60" s="65" t="e">
        <f t="shared" si="26"/>
        <v>#DIV/0!</v>
      </c>
      <c r="L60" s="65"/>
    </row>
    <row r="61" spans="2:12" x14ac:dyDescent="0.25">
      <c r="B61" s="10"/>
      <c r="C61" s="10"/>
      <c r="D61" s="10"/>
      <c r="E61" s="10">
        <v>3227</v>
      </c>
      <c r="F61" s="10" t="s">
        <v>124</v>
      </c>
      <c r="G61" s="44">
        <v>3357.06</v>
      </c>
      <c r="H61" s="44"/>
      <c r="I61" s="44"/>
      <c r="J61" s="44">
        <v>4307.0600000000004</v>
      </c>
      <c r="K61" s="65">
        <f t="shared" si="26"/>
        <v>128.29857077323612</v>
      </c>
      <c r="L61" s="65"/>
    </row>
    <row r="62" spans="2:12" s="28" customFormat="1" x14ac:dyDescent="0.25">
      <c r="B62" s="11"/>
      <c r="C62" s="11"/>
      <c r="D62" s="11">
        <v>323</v>
      </c>
      <c r="E62" s="11"/>
      <c r="F62" s="11" t="s">
        <v>149</v>
      </c>
      <c r="G62" s="82">
        <f>SUM(G63:G71)</f>
        <v>105552.05</v>
      </c>
      <c r="H62" s="82"/>
      <c r="I62" s="82"/>
      <c r="J62" s="82">
        <f t="shared" ref="J62" si="27">SUM(J63:J71)</f>
        <v>105139.8</v>
      </c>
      <c r="K62" s="66">
        <f t="shared" si="20"/>
        <v>99.609434397531842</v>
      </c>
      <c r="L62" s="66"/>
    </row>
    <row r="63" spans="2:12" x14ac:dyDescent="0.25">
      <c r="B63" s="10"/>
      <c r="C63" s="10"/>
      <c r="D63" s="10"/>
      <c r="E63" s="10">
        <v>3231</v>
      </c>
      <c r="F63" s="10" t="s">
        <v>125</v>
      </c>
      <c r="G63" s="44">
        <v>2119.63</v>
      </c>
      <c r="H63" s="44"/>
      <c r="I63" s="44"/>
      <c r="J63" s="44">
        <v>2261.41</v>
      </c>
      <c r="K63" s="65">
        <f>J63/G63*100</f>
        <v>106.68890325198264</v>
      </c>
      <c r="L63" s="65"/>
    </row>
    <row r="64" spans="2:12" x14ac:dyDescent="0.25">
      <c r="B64" s="10"/>
      <c r="C64" s="10"/>
      <c r="D64" s="10"/>
      <c r="E64" s="10">
        <v>3232</v>
      </c>
      <c r="F64" s="10" t="s">
        <v>126</v>
      </c>
      <c r="G64" s="44">
        <v>49872.46</v>
      </c>
      <c r="H64" s="44"/>
      <c r="I64" s="44"/>
      <c r="J64" s="44">
        <v>45829.19</v>
      </c>
      <c r="K64" s="65">
        <f t="shared" ref="K64:K71" si="28">J64/G64*100</f>
        <v>91.892780103487979</v>
      </c>
      <c r="L64" s="65"/>
    </row>
    <row r="65" spans="2:12" x14ac:dyDescent="0.25">
      <c r="B65" s="10"/>
      <c r="C65" s="10"/>
      <c r="D65" s="10"/>
      <c r="E65" s="10">
        <v>3233</v>
      </c>
      <c r="F65" s="10" t="s">
        <v>127</v>
      </c>
      <c r="G65" s="44">
        <v>0</v>
      </c>
      <c r="H65" s="44"/>
      <c r="I65" s="44"/>
      <c r="J65" s="44">
        <v>497.7</v>
      </c>
      <c r="K65" s="65" t="e">
        <f t="shared" si="28"/>
        <v>#DIV/0!</v>
      </c>
      <c r="L65" s="65"/>
    </row>
    <row r="66" spans="2:12" x14ac:dyDescent="0.25">
      <c r="B66" s="10"/>
      <c r="C66" s="10"/>
      <c r="D66" s="10"/>
      <c r="E66" s="10">
        <v>3234</v>
      </c>
      <c r="F66" s="10" t="s">
        <v>128</v>
      </c>
      <c r="G66" s="44">
        <v>25129.19</v>
      </c>
      <c r="H66" s="44"/>
      <c r="I66" s="44"/>
      <c r="J66" s="44">
        <v>25860.799999999999</v>
      </c>
      <c r="K66" s="65">
        <f t="shared" si="28"/>
        <v>102.91139507481142</v>
      </c>
      <c r="L66" s="65"/>
    </row>
    <row r="67" spans="2:12" x14ac:dyDescent="0.25">
      <c r="B67" s="10"/>
      <c r="C67" s="10"/>
      <c r="D67" s="10"/>
      <c r="E67" s="10">
        <v>3235</v>
      </c>
      <c r="F67" s="10" t="s">
        <v>129</v>
      </c>
      <c r="G67" s="113">
        <v>0</v>
      </c>
      <c r="H67" s="44"/>
      <c r="I67" s="44"/>
      <c r="J67" s="44">
        <v>0</v>
      </c>
      <c r="K67" s="65" t="e">
        <f t="shared" si="28"/>
        <v>#DIV/0!</v>
      </c>
      <c r="L67" s="65"/>
    </row>
    <row r="68" spans="2:12" x14ac:dyDescent="0.25">
      <c r="B68" s="10"/>
      <c r="C68" s="10"/>
      <c r="D68" s="10"/>
      <c r="E68" s="10">
        <v>3236</v>
      </c>
      <c r="F68" s="10" t="s">
        <v>130</v>
      </c>
      <c r="G68" s="44">
        <v>9675.44</v>
      </c>
      <c r="H68" s="44"/>
      <c r="I68" s="44"/>
      <c r="J68" s="44">
        <v>7666.18</v>
      </c>
      <c r="K68" s="65">
        <f t="shared" si="28"/>
        <v>79.233399204583975</v>
      </c>
      <c r="L68" s="65"/>
    </row>
    <row r="69" spans="2:12" x14ac:dyDescent="0.25">
      <c r="B69" s="10"/>
      <c r="C69" s="10"/>
      <c r="D69" s="10"/>
      <c r="E69" s="10">
        <v>3237</v>
      </c>
      <c r="F69" s="10" t="s">
        <v>131</v>
      </c>
      <c r="G69" s="44">
        <v>5697.92</v>
      </c>
      <c r="H69" s="44"/>
      <c r="I69" s="44"/>
      <c r="J69" s="44">
        <v>8873.52</v>
      </c>
      <c r="K69" s="65">
        <f t="shared" si="28"/>
        <v>155.73261821857801</v>
      </c>
      <c r="L69" s="65"/>
    </row>
    <row r="70" spans="2:12" x14ac:dyDescent="0.25">
      <c r="B70" s="10"/>
      <c r="C70" s="10"/>
      <c r="D70" s="10"/>
      <c r="E70" s="10">
        <v>3238</v>
      </c>
      <c r="F70" s="10" t="s">
        <v>132</v>
      </c>
      <c r="G70" s="44">
        <v>12047.85</v>
      </c>
      <c r="H70" s="44"/>
      <c r="I70" s="44"/>
      <c r="J70" s="44">
        <v>13444.05</v>
      </c>
      <c r="K70" s="65">
        <f t="shared" si="28"/>
        <v>111.58878970106699</v>
      </c>
      <c r="L70" s="65"/>
    </row>
    <row r="71" spans="2:12" x14ac:dyDescent="0.25">
      <c r="B71" s="10"/>
      <c r="C71" s="10"/>
      <c r="D71" s="10"/>
      <c r="E71" s="10">
        <v>3239</v>
      </c>
      <c r="F71" s="10" t="s">
        <v>133</v>
      </c>
      <c r="G71" s="44">
        <v>1009.56</v>
      </c>
      <c r="H71" s="44"/>
      <c r="I71" s="44"/>
      <c r="J71" s="44">
        <v>706.95</v>
      </c>
      <c r="K71" s="65">
        <f t="shared" si="28"/>
        <v>70.025555687626309</v>
      </c>
      <c r="L71" s="65"/>
    </row>
    <row r="72" spans="2:12" s="28" customFormat="1" x14ac:dyDescent="0.25">
      <c r="B72" s="11"/>
      <c r="C72" s="11"/>
      <c r="D72" s="11">
        <v>329</v>
      </c>
      <c r="E72" s="11"/>
      <c r="F72" s="11" t="s">
        <v>150</v>
      </c>
      <c r="G72" s="82">
        <f>SUM(G73:G79)</f>
        <v>14167.550000000003</v>
      </c>
      <c r="H72" s="82"/>
      <c r="I72" s="82"/>
      <c r="J72" s="82">
        <f t="shared" ref="J72" si="29">SUM(J73:J79)</f>
        <v>9696.59</v>
      </c>
      <c r="K72" s="66">
        <f t="shared" si="20"/>
        <v>68.44225007146612</v>
      </c>
      <c r="L72" s="66"/>
    </row>
    <row r="73" spans="2:12" x14ac:dyDescent="0.25">
      <c r="B73" s="10"/>
      <c r="C73" s="10"/>
      <c r="D73" s="10"/>
      <c r="E73" s="10">
        <v>3291</v>
      </c>
      <c r="F73" s="10" t="s">
        <v>134</v>
      </c>
      <c r="G73" s="44">
        <v>6266.68</v>
      </c>
      <c r="H73" s="44"/>
      <c r="I73" s="44"/>
      <c r="J73" s="44">
        <v>5986.36</v>
      </c>
      <c r="K73" s="65">
        <f>J73/G73*100</f>
        <v>95.526818028046733</v>
      </c>
      <c r="L73" s="65"/>
    </row>
    <row r="74" spans="2:12" x14ac:dyDescent="0.25">
      <c r="B74" s="10"/>
      <c r="C74" s="10"/>
      <c r="D74" s="10"/>
      <c r="E74" s="10">
        <v>3292</v>
      </c>
      <c r="F74" s="10" t="s">
        <v>135</v>
      </c>
      <c r="G74" s="44">
        <v>2384.38</v>
      </c>
      <c r="H74" s="44"/>
      <c r="I74" s="44"/>
      <c r="J74" s="44">
        <v>2416.9699999999998</v>
      </c>
      <c r="K74" s="65">
        <f t="shared" ref="K74:K79" si="30">J74/G74*100</f>
        <v>101.3668123369597</v>
      </c>
      <c r="L74" s="65"/>
    </row>
    <row r="75" spans="2:12" x14ac:dyDescent="0.25">
      <c r="B75" s="10"/>
      <c r="C75" s="10"/>
      <c r="D75" s="10"/>
      <c r="E75" s="10">
        <v>3293</v>
      </c>
      <c r="F75" s="10" t="s">
        <v>136</v>
      </c>
      <c r="G75" s="44">
        <v>347.91</v>
      </c>
      <c r="H75" s="44"/>
      <c r="I75" s="44"/>
      <c r="J75" s="44">
        <v>440.06</v>
      </c>
      <c r="K75" s="65">
        <f t="shared" si="30"/>
        <v>126.4867350751631</v>
      </c>
      <c r="L75" s="65"/>
    </row>
    <row r="76" spans="2:12" x14ac:dyDescent="0.25">
      <c r="B76" s="10"/>
      <c r="C76" s="10"/>
      <c r="D76" s="10"/>
      <c r="E76" s="10">
        <v>3294</v>
      </c>
      <c r="F76" s="10" t="s">
        <v>137</v>
      </c>
      <c r="G76" s="44">
        <v>0</v>
      </c>
      <c r="H76" s="44"/>
      <c r="I76" s="44"/>
      <c r="J76" s="44">
        <v>0</v>
      </c>
      <c r="K76" s="65" t="e">
        <f t="shared" si="30"/>
        <v>#DIV/0!</v>
      </c>
      <c r="L76" s="65"/>
    </row>
    <row r="77" spans="2:12" x14ac:dyDescent="0.25">
      <c r="B77" s="10"/>
      <c r="C77" s="10"/>
      <c r="D77" s="10"/>
      <c r="E77" s="10">
        <v>3295</v>
      </c>
      <c r="F77" s="10" t="s">
        <v>138</v>
      </c>
      <c r="G77" s="44">
        <v>1502.63</v>
      </c>
      <c r="H77" s="44"/>
      <c r="I77" s="44"/>
      <c r="J77" s="44">
        <v>175.7</v>
      </c>
      <c r="K77" s="65">
        <f t="shared" si="30"/>
        <v>11.692831901399545</v>
      </c>
      <c r="L77" s="65"/>
    </row>
    <row r="78" spans="2:12" x14ac:dyDescent="0.25">
      <c r="B78" s="10"/>
      <c r="C78" s="10"/>
      <c r="D78" s="10"/>
      <c r="E78" s="10" t="s">
        <v>139</v>
      </c>
      <c r="F78" s="10" t="s">
        <v>140</v>
      </c>
      <c r="G78" s="44">
        <v>3571.04</v>
      </c>
      <c r="H78" s="44"/>
      <c r="I78" s="44"/>
      <c r="J78" s="44">
        <v>577.5</v>
      </c>
      <c r="K78" s="65">
        <f t="shared" si="30"/>
        <v>16.171759487432233</v>
      </c>
      <c r="L78" s="65"/>
    </row>
    <row r="79" spans="2:12" x14ac:dyDescent="0.25">
      <c r="B79" s="10"/>
      <c r="C79" s="10"/>
      <c r="D79" s="10"/>
      <c r="E79" s="10">
        <v>3299</v>
      </c>
      <c r="F79" s="10" t="s">
        <v>141</v>
      </c>
      <c r="G79" s="44">
        <v>94.91</v>
      </c>
      <c r="H79" s="44"/>
      <c r="I79" s="44"/>
      <c r="J79" s="44">
        <v>100</v>
      </c>
      <c r="K79" s="65">
        <f t="shared" si="30"/>
        <v>105.36297545042672</v>
      </c>
      <c r="L79" s="65"/>
    </row>
    <row r="80" spans="2:12" s="68" customFormat="1" x14ac:dyDescent="0.25">
      <c r="B80" s="21"/>
      <c r="C80" s="21">
        <v>34</v>
      </c>
      <c r="D80" s="21"/>
      <c r="E80" s="21"/>
      <c r="F80" s="21" t="s">
        <v>52</v>
      </c>
      <c r="G80" s="81">
        <f>+G81</f>
        <v>4538.1000000000004</v>
      </c>
      <c r="H80" s="81">
        <f>50+500+2000</f>
        <v>2550</v>
      </c>
      <c r="I80" s="81">
        <f>2550-9.51+2500</f>
        <v>5040.49</v>
      </c>
      <c r="J80" s="81">
        <f t="shared" ref="J80" si="31">+J81</f>
        <v>4984.1000000000004</v>
      </c>
      <c r="K80" s="64">
        <f t="shared" si="20"/>
        <v>109.82790154469933</v>
      </c>
      <c r="L80" s="64">
        <f>J80/I80*100</f>
        <v>98.881259560082469</v>
      </c>
    </row>
    <row r="81" spans="2:12" s="28" customFormat="1" x14ac:dyDescent="0.25">
      <c r="B81" s="11"/>
      <c r="C81" s="11"/>
      <c r="D81" s="11">
        <v>343</v>
      </c>
      <c r="E81" s="11"/>
      <c r="F81" s="11" t="s">
        <v>151</v>
      </c>
      <c r="G81" s="82">
        <f>SUM(G82:G85)</f>
        <v>4538.1000000000004</v>
      </c>
      <c r="H81" s="82"/>
      <c r="I81" s="82"/>
      <c r="J81" s="82">
        <f t="shared" ref="J81" si="32">SUM(J82:J85)</f>
        <v>4984.1000000000004</v>
      </c>
      <c r="K81" s="66">
        <f t="shared" si="20"/>
        <v>109.82790154469933</v>
      </c>
      <c r="L81" s="66"/>
    </row>
    <row r="82" spans="2:12" x14ac:dyDescent="0.25">
      <c r="B82" s="10"/>
      <c r="C82" s="10"/>
      <c r="D82" s="10"/>
      <c r="E82" s="10">
        <v>3431</v>
      </c>
      <c r="F82" s="10" t="s">
        <v>142</v>
      </c>
      <c r="G82" s="44">
        <v>2358.2399999999998</v>
      </c>
      <c r="H82" s="44"/>
      <c r="I82" s="44"/>
      <c r="J82" s="44">
        <v>2616.87</v>
      </c>
      <c r="K82" s="65">
        <f t="shared" si="20"/>
        <v>110.9670771422756</v>
      </c>
      <c r="L82" s="65"/>
    </row>
    <row r="83" spans="2:12" x14ac:dyDescent="0.25">
      <c r="B83" s="10"/>
      <c r="C83" s="21"/>
      <c r="D83" s="10"/>
      <c r="E83" s="10">
        <v>3432</v>
      </c>
      <c r="F83" s="53" t="s">
        <v>143</v>
      </c>
      <c r="G83" s="44">
        <v>0.02</v>
      </c>
      <c r="H83" s="44"/>
      <c r="I83" s="44"/>
      <c r="J83" s="44">
        <v>0</v>
      </c>
      <c r="K83" s="65">
        <f t="shared" si="20"/>
        <v>0</v>
      </c>
      <c r="L83" s="65"/>
    </row>
    <row r="84" spans="2:12" x14ac:dyDescent="0.25">
      <c r="B84" s="10"/>
      <c r="C84" s="21"/>
      <c r="D84" s="10"/>
      <c r="E84" s="10">
        <v>3433</v>
      </c>
      <c r="F84" s="53" t="s">
        <v>144</v>
      </c>
      <c r="G84" s="44">
        <v>2179.84</v>
      </c>
      <c r="H84" s="44"/>
      <c r="I84" s="44"/>
      <c r="J84" s="44">
        <v>367.23</v>
      </c>
      <c r="K84" s="65">
        <f t="shared" si="20"/>
        <v>16.846649295361125</v>
      </c>
      <c r="L84" s="65"/>
    </row>
    <row r="85" spans="2:12" x14ac:dyDescent="0.25">
      <c r="B85" s="10"/>
      <c r="C85" s="10"/>
      <c r="D85" s="10"/>
      <c r="E85" s="10">
        <v>3434</v>
      </c>
      <c r="F85" s="53" t="s">
        <v>145</v>
      </c>
      <c r="G85" s="44">
        <v>0</v>
      </c>
      <c r="H85" s="44"/>
      <c r="I85" s="44"/>
      <c r="J85" s="44">
        <v>2000</v>
      </c>
      <c r="K85" s="65" t="e">
        <f t="shared" si="20"/>
        <v>#DIV/0!</v>
      </c>
      <c r="L85" s="65"/>
    </row>
    <row r="86" spans="2:12" s="68" customFormat="1" x14ac:dyDescent="0.25">
      <c r="B86" s="21"/>
      <c r="C86" s="21">
        <v>37</v>
      </c>
      <c r="D86" s="21"/>
      <c r="E86" s="21"/>
      <c r="F86" s="70"/>
      <c r="G86" s="81">
        <f>+G87</f>
        <v>6694.47</v>
      </c>
      <c r="H86" s="81">
        <v>6000</v>
      </c>
      <c r="I86" s="81">
        <f>6000-400</f>
        <v>5600</v>
      </c>
      <c r="J86" s="81">
        <f t="shared" ref="J86" si="33">+J87</f>
        <v>5553.66</v>
      </c>
      <c r="K86" s="64">
        <f t="shared" si="20"/>
        <v>82.958919824870364</v>
      </c>
      <c r="L86" s="64">
        <f>J86/I86*100</f>
        <v>99.172499999999999</v>
      </c>
    </row>
    <row r="87" spans="2:12" s="28" customFormat="1" x14ac:dyDescent="0.25">
      <c r="B87" s="11"/>
      <c r="C87" s="11"/>
      <c r="D87" s="11">
        <v>372</v>
      </c>
      <c r="E87" s="11"/>
      <c r="F87" s="14" t="s">
        <v>152</v>
      </c>
      <c r="G87" s="82">
        <f>SUM(G88)</f>
        <v>6694.47</v>
      </c>
      <c r="H87" s="82"/>
      <c r="I87" s="82"/>
      <c r="J87" s="82">
        <f t="shared" ref="J87" si="34">SUM(J88)</f>
        <v>5553.66</v>
      </c>
      <c r="K87" s="66">
        <f t="shared" si="20"/>
        <v>82.958919824870364</v>
      </c>
      <c r="L87" s="66"/>
    </row>
    <row r="88" spans="2:12" x14ac:dyDescent="0.25">
      <c r="B88" s="10"/>
      <c r="C88" s="10"/>
      <c r="D88" s="10"/>
      <c r="E88" s="10">
        <v>3721</v>
      </c>
      <c r="F88" s="53" t="s">
        <v>146</v>
      </c>
      <c r="G88" s="44">
        <v>6694.47</v>
      </c>
      <c r="H88" s="44"/>
      <c r="I88" s="44"/>
      <c r="J88" s="44">
        <v>5553.66</v>
      </c>
      <c r="K88" s="65">
        <f t="shared" si="20"/>
        <v>82.958919824870364</v>
      </c>
      <c r="L88" s="65"/>
    </row>
    <row r="89" spans="2:12" s="68" customFormat="1" x14ac:dyDescent="0.25">
      <c r="B89" s="12">
        <v>4</v>
      </c>
      <c r="C89" s="12"/>
      <c r="D89" s="12"/>
      <c r="E89" s="12"/>
      <c r="F89" s="19" t="s">
        <v>12</v>
      </c>
      <c r="G89" s="81">
        <f>+G90+G98</f>
        <v>179626.27000000002</v>
      </c>
      <c r="H89" s="81">
        <f t="shared" ref="H89" si="35">+H90+H98</f>
        <v>61853</v>
      </c>
      <c r="I89" s="81">
        <f>+I90+I98</f>
        <v>77861.600000000006</v>
      </c>
      <c r="J89" s="81">
        <f>+J90+J98</f>
        <v>77806.3</v>
      </c>
      <c r="K89" s="64">
        <f t="shared" si="20"/>
        <v>43.31565755944272</v>
      </c>
      <c r="L89" s="64">
        <f>J89/I89*100</f>
        <v>99.928976542994235</v>
      </c>
    </row>
    <row r="90" spans="2:12" s="68" customFormat="1" x14ac:dyDescent="0.25">
      <c r="B90" s="9"/>
      <c r="C90" s="9">
        <v>41</v>
      </c>
      <c r="D90" s="9"/>
      <c r="E90" s="9"/>
      <c r="F90" s="19" t="s">
        <v>13</v>
      </c>
      <c r="G90" s="81">
        <f>+G91</f>
        <v>122712.8</v>
      </c>
      <c r="H90" s="81">
        <f>30000+6545</f>
        <v>36545</v>
      </c>
      <c r="I90" s="81">
        <f>30000+4463.55</f>
        <v>34463.550000000003</v>
      </c>
      <c r="J90" s="81">
        <f t="shared" ref="J90" si="36">+J91</f>
        <v>34408.25</v>
      </c>
      <c r="K90" s="64">
        <f t="shared" ref="K90:K106" si="37">J90/G90*100</f>
        <v>28.039658454537747</v>
      </c>
      <c r="L90" s="64"/>
    </row>
    <row r="91" spans="2:12" s="28" customFormat="1" x14ac:dyDescent="0.25">
      <c r="B91" s="15"/>
      <c r="C91" s="15"/>
      <c r="D91" s="11">
        <v>412</v>
      </c>
      <c r="E91" s="11"/>
      <c r="F91" s="11" t="s">
        <v>161</v>
      </c>
      <c r="G91" s="82">
        <f>SUM(G92:G97)</f>
        <v>122712.8</v>
      </c>
      <c r="H91" s="82"/>
      <c r="I91" s="82"/>
      <c r="J91" s="82">
        <f t="shared" ref="J91" si="38">SUM(J92:J97)</f>
        <v>34408.25</v>
      </c>
      <c r="K91" s="82">
        <f t="shared" si="37"/>
        <v>28.039658454537747</v>
      </c>
      <c r="L91" s="66"/>
    </row>
    <row r="92" spans="2:12" x14ac:dyDescent="0.25">
      <c r="B92" s="13"/>
      <c r="C92" s="13"/>
      <c r="D92" s="10"/>
      <c r="E92" s="10">
        <v>4121</v>
      </c>
      <c r="F92" s="10" t="s">
        <v>162</v>
      </c>
      <c r="G92" s="44">
        <v>0</v>
      </c>
      <c r="H92" s="44"/>
      <c r="I92" s="83"/>
      <c r="J92" s="44"/>
      <c r="K92" s="65" t="e">
        <f t="shared" si="37"/>
        <v>#DIV/0!</v>
      </c>
      <c r="L92" s="65"/>
    </row>
    <row r="93" spans="2:12" x14ac:dyDescent="0.25">
      <c r="B93" s="13"/>
      <c r="C93" s="13"/>
      <c r="D93" s="10"/>
      <c r="E93" s="10">
        <v>4122</v>
      </c>
      <c r="F93" s="10" t="s">
        <v>163</v>
      </c>
      <c r="G93" s="44">
        <v>0</v>
      </c>
      <c r="H93" s="44"/>
      <c r="I93" s="83"/>
      <c r="J93" s="44"/>
      <c r="K93" s="65" t="e">
        <f t="shared" si="37"/>
        <v>#DIV/0!</v>
      </c>
      <c r="L93" s="65"/>
    </row>
    <row r="94" spans="2:12" x14ac:dyDescent="0.25">
      <c r="B94" s="13"/>
      <c r="C94" s="13"/>
      <c r="D94" s="10"/>
      <c r="E94" s="10">
        <v>4123</v>
      </c>
      <c r="F94" s="10" t="s">
        <v>164</v>
      </c>
      <c r="G94" s="44">
        <v>0</v>
      </c>
      <c r="H94" s="44"/>
      <c r="I94" s="83"/>
      <c r="J94" s="44"/>
      <c r="K94" s="65" t="e">
        <f t="shared" si="37"/>
        <v>#DIV/0!</v>
      </c>
      <c r="L94" s="65"/>
    </row>
    <row r="95" spans="2:12" x14ac:dyDescent="0.25">
      <c r="B95" s="13"/>
      <c r="C95" s="13"/>
      <c r="D95" s="10"/>
      <c r="E95" s="10">
        <v>4124</v>
      </c>
      <c r="F95" s="10" t="s">
        <v>165</v>
      </c>
      <c r="G95" s="44">
        <v>122712.8</v>
      </c>
      <c r="H95" s="44"/>
      <c r="I95" s="83"/>
      <c r="J95" s="44">
        <v>34408.25</v>
      </c>
      <c r="K95" s="65">
        <f t="shared" si="37"/>
        <v>28.039658454537747</v>
      </c>
      <c r="L95" s="65"/>
    </row>
    <row r="96" spans="2:12" x14ac:dyDescent="0.25">
      <c r="B96" s="13"/>
      <c r="C96" s="13"/>
      <c r="D96" s="10"/>
      <c r="E96" s="10">
        <v>4125</v>
      </c>
      <c r="F96" s="10" t="s">
        <v>166</v>
      </c>
      <c r="G96" s="44">
        <v>0</v>
      </c>
      <c r="H96" s="44"/>
      <c r="I96" s="83"/>
      <c r="J96" s="44"/>
      <c r="K96" s="65" t="e">
        <f t="shared" si="37"/>
        <v>#DIV/0!</v>
      </c>
      <c r="L96" s="65"/>
    </row>
    <row r="97" spans="2:12" x14ac:dyDescent="0.25">
      <c r="B97" s="13"/>
      <c r="C97" s="13"/>
      <c r="D97" s="10"/>
      <c r="E97" s="10">
        <v>4126</v>
      </c>
      <c r="F97" s="10" t="s">
        <v>167</v>
      </c>
      <c r="G97" s="44">
        <v>0</v>
      </c>
      <c r="H97" s="44"/>
      <c r="I97" s="83"/>
      <c r="J97" s="44"/>
      <c r="K97" s="65" t="e">
        <f t="shared" si="37"/>
        <v>#DIV/0!</v>
      </c>
      <c r="L97" s="65"/>
    </row>
    <row r="98" spans="2:12" s="68" customFormat="1" x14ac:dyDescent="0.25">
      <c r="B98" s="9"/>
      <c r="C98" s="9">
        <v>42</v>
      </c>
      <c r="D98" s="9"/>
      <c r="E98" s="9"/>
      <c r="F98" s="19" t="s">
        <v>13</v>
      </c>
      <c r="G98" s="81">
        <f>+G99+G107</f>
        <v>56913.47</v>
      </c>
      <c r="H98" s="81">
        <f>5400+19908</f>
        <v>25308</v>
      </c>
      <c r="I98" s="81">
        <f>5400+19908+6545+13489.75-1944.7</f>
        <v>43398.05</v>
      </c>
      <c r="J98" s="81">
        <f>+J99+J107</f>
        <v>43398.05</v>
      </c>
      <c r="K98" s="64">
        <f t="shared" si="37"/>
        <v>76.252686754119907</v>
      </c>
      <c r="L98" s="64">
        <f>J98/I98*100</f>
        <v>100</v>
      </c>
    </row>
    <row r="99" spans="2:12" s="28" customFormat="1" x14ac:dyDescent="0.25">
      <c r="B99" s="15"/>
      <c r="C99" s="15"/>
      <c r="D99" s="11">
        <v>422</v>
      </c>
      <c r="E99" s="11"/>
      <c r="F99" s="11" t="s">
        <v>153</v>
      </c>
      <c r="G99" s="82">
        <f>+G100+G101+G102+G103+G104+G105+G106</f>
        <v>50392.17</v>
      </c>
      <c r="H99" s="82"/>
      <c r="I99" s="82"/>
      <c r="J99" s="82">
        <f t="shared" ref="J99" si="39">+J100+J101+J102+J103+J104+J105+J106</f>
        <v>43398.05</v>
      </c>
      <c r="K99" s="66">
        <f t="shared" si="37"/>
        <v>86.120621517192063</v>
      </c>
      <c r="L99" s="66"/>
    </row>
    <row r="100" spans="2:12" x14ac:dyDescent="0.25">
      <c r="B100" s="13"/>
      <c r="C100" s="13"/>
      <c r="D100" s="10"/>
      <c r="E100" s="10">
        <v>4221</v>
      </c>
      <c r="F100" s="10" t="s">
        <v>154</v>
      </c>
      <c r="G100" s="44">
        <v>3945.08</v>
      </c>
      <c r="H100" s="44"/>
      <c r="I100" s="83"/>
      <c r="J100" s="44">
        <v>1237.5</v>
      </c>
      <c r="K100" s="65">
        <f t="shared" si="37"/>
        <v>31.368185182556502</v>
      </c>
      <c r="L100" s="65"/>
    </row>
    <row r="101" spans="2:12" x14ac:dyDescent="0.25">
      <c r="B101" s="13"/>
      <c r="C101" s="13"/>
      <c r="D101" s="10"/>
      <c r="E101" s="10">
        <v>4222</v>
      </c>
      <c r="F101" s="10" t="s">
        <v>155</v>
      </c>
      <c r="G101" s="44">
        <v>1917.13</v>
      </c>
      <c r="H101" s="44"/>
      <c r="I101" s="83"/>
      <c r="J101" s="44">
        <v>504.1</v>
      </c>
      <c r="K101" s="65">
        <f t="shared" si="37"/>
        <v>26.294513152472703</v>
      </c>
      <c r="L101" s="65"/>
    </row>
    <row r="102" spans="2:12" x14ac:dyDescent="0.25">
      <c r="B102" s="13"/>
      <c r="C102" s="13"/>
      <c r="D102" s="10"/>
      <c r="E102" s="10">
        <v>4223</v>
      </c>
      <c r="F102" s="10" t="s">
        <v>156</v>
      </c>
      <c r="G102" s="44">
        <v>0</v>
      </c>
      <c r="H102" s="44"/>
      <c r="I102" s="83"/>
      <c r="J102" s="44"/>
      <c r="K102" s="65" t="e">
        <f t="shared" si="37"/>
        <v>#DIV/0!</v>
      </c>
      <c r="L102" s="65"/>
    </row>
    <row r="103" spans="2:12" x14ac:dyDescent="0.25">
      <c r="B103" s="13"/>
      <c r="C103" s="13"/>
      <c r="D103" s="10"/>
      <c r="E103" s="10">
        <v>4224</v>
      </c>
      <c r="F103" s="10" t="s">
        <v>157</v>
      </c>
      <c r="G103" s="44">
        <v>28354.83</v>
      </c>
      <c r="H103" s="44"/>
      <c r="I103" s="83"/>
      <c r="J103" s="44">
        <v>12836.25</v>
      </c>
      <c r="K103" s="65">
        <f t="shared" si="37"/>
        <v>45.270065100019998</v>
      </c>
      <c r="L103" s="65"/>
    </row>
    <row r="104" spans="2:12" x14ac:dyDescent="0.25">
      <c r="B104" s="13"/>
      <c r="C104" s="13"/>
      <c r="D104" s="10"/>
      <c r="E104" s="10">
        <v>4225</v>
      </c>
      <c r="F104" s="10" t="s">
        <v>158</v>
      </c>
      <c r="G104" s="44">
        <v>575</v>
      </c>
      <c r="H104" s="44"/>
      <c r="I104" s="83"/>
      <c r="J104" s="44"/>
      <c r="K104" s="65">
        <f t="shared" si="37"/>
        <v>0</v>
      </c>
      <c r="L104" s="65"/>
    </row>
    <row r="105" spans="2:12" x14ac:dyDescent="0.25">
      <c r="B105" s="13"/>
      <c r="C105" s="13"/>
      <c r="D105" s="10"/>
      <c r="E105" s="10">
        <v>4226</v>
      </c>
      <c r="F105" s="10" t="s">
        <v>159</v>
      </c>
      <c r="G105" s="44">
        <v>0</v>
      </c>
      <c r="H105" s="44"/>
      <c r="I105" s="83"/>
      <c r="J105" s="44"/>
      <c r="K105" s="65" t="e">
        <f t="shared" si="37"/>
        <v>#DIV/0!</v>
      </c>
      <c r="L105" s="65"/>
    </row>
    <row r="106" spans="2:12" x14ac:dyDescent="0.25">
      <c r="B106" s="13"/>
      <c r="C106" s="13"/>
      <c r="D106" s="10"/>
      <c r="E106" s="10">
        <v>4227</v>
      </c>
      <c r="F106" s="10" t="s">
        <v>160</v>
      </c>
      <c r="G106" s="44">
        <v>15600.13</v>
      </c>
      <c r="H106" s="44"/>
      <c r="I106" s="83"/>
      <c r="J106" s="44">
        <v>28820.2</v>
      </c>
      <c r="K106" s="65">
        <f t="shared" si="37"/>
        <v>184.74333226710291</v>
      </c>
      <c r="L106" s="65"/>
    </row>
    <row r="107" spans="2:12" s="28" customFormat="1" x14ac:dyDescent="0.25">
      <c r="B107" s="15"/>
      <c r="C107" s="15"/>
      <c r="D107" s="11">
        <v>426</v>
      </c>
      <c r="E107" s="11"/>
      <c r="F107" s="11" t="s">
        <v>199</v>
      </c>
      <c r="G107" s="82">
        <f>G108</f>
        <v>6521.3</v>
      </c>
      <c r="H107" s="82"/>
      <c r="I107" s="82"/>
      <c r="J107" s="82">
        <f>J108</f>
        <v>0</v>
      </c>
      <c r="K107" s="66">
        <f>J107/G107*100</f>
        <v>0</v>
      </c>
      <c r="L107" s="66"/>
    </row>
    <row r="108" spans="2:12" x14ac:dyDescent="0.25">
      <c r="B108" s="13"/>
      <c r="C108" s="13"/>
      <c r="D108" s="10"/>
      <c r="E108" s="10">
        <v>4262</v>
      </c>
      <c r="F108" s="10" t="s">
        <v>198</v>
      </c>
      <c r="G108" s="44">
        <v>6521.3</v>
      </c>
      <c r="H108" s="44"/>
      <c r="I108" s="83"/>
      <c r="J108" s="44">
        <v>0</v>
      </c>
      <c r="K108" s="65">
        <f>J108/G108*100</f>
        <v>0</v>
      </c>
      <c r="L108" s="65"/>
    </row>
    <row r="110" spans="2:12" ht="45" customHeight="1" x14ac:dyDescent="0.25">
      <c r="B110" s="152" t="s">
        <v>15</v>
      </c>
      <c r="C110" s="177"/>
      <c r="D110" s="177"/>
      <c r="E110" s="177"/>
      <c r="F110" s="178"/>
      <c r="G110" s="51" t="s">
        <v>205</v>
      </c>
      <c r="H110" s="51" t="s">
        <v>200</v>
      </c>
      <c r="I110" s="51" t="s">
        <v>201</v>
      </c>
      <c r="J110" s="51" t="s">
        <v>206</v>
      </c>
      <c r="K110" s="51" t="s">
        <v>202</v>
      </c>
      <c r="L110" s="51" t="s">
        <v>203</v>
      </c>
    </row>
    <row r="111" spans="2:12" x14ac:dyDescent="0.25">
      <c r="B111" s="149">
        <v>1</v>
      </c>
      <c r="C111" s="150"/>
      <c r="D111" s="150"/>
      <c r="E111" s="150"/>
      <c r="F111" s="151"/>
      <c r="G111" s="52">
        <v>2</v>
      </c>
      <c r="H111" s="52">
        <v>3</v>
      </c>
      <c r="I111" s="52">
        <v>4</v>
      </c>
      <c r="J111" s="52">
        <v>5</v>
      </c>
      <c r="K111" s="63" t="s">
        <v>86</v>
      </c>
      <c r="L111" s="52" t="s">
        <v>85</v>
      </c>
    </row>
    <row r="112" spans="2:12" x14ac:dyDescent="0.25">
      <c r="B112" s="21"/>
      <c r="C112" s="21">
        <v>92</v>
      </c>
      <c r="D112" s="57"/>
      <c r="E112" s="57"/>
      <c r="F112" s="9" t="s">
        <v>84</v>
      </c>
      <c r="G112" s="59">
        <f>G113</f>
        <v>6834.37</v>
      </c>
      <c r="H112" s="59">
        <f t="shared" ref="H112:I112" si="40">H113</f>
        <v>0</v>
      </c>
      <c r="I112" s="59">
        <f t="shared" si="40"/>
        <v>555.62</v>
      </c>
      <c r="J112" s="59">
        <f>J113</f>
        <v>555.62</v>
      </c>
      <c r="K112" s="64">
        <f>J112/G112*100</f>
        <v>8.1297910414566381</v>
      </c>
      <c r="L112" s="60">
        <f>J112/I112*100</f>
        <v>100</v>
      </c>
    </row>
    <row r="113" spans="2:12" x14ac:dyDescent="0.25">
      <c r="B113" s="11"/>
      <c r="C113" s="57"/>
      <c r="D113" s="11">
        <v>922</v>
      </c>
      <c r="E113" s="11"/>
      <c r="F113" s="15" t="s">
        <v>168</v>
      </c>
      <c r="G113" s="58">
        <f>SUM(G114)</f>
        <v>6834.37</v>
      </c>
      <c r="H113" s="58">
        <f t="shared" ref="H113:I113" si="41">SUM(H114)</f>
        <v>0</v>
      </c>
      <c r="I113" s="58">
        <f t="shared" si="41"/>
        <v>555.62</v>
      </c>
      <c r="J113" s="58">
        <f t="shared" ref="J113" si="42">SUM(J114)</f>
        <v>555.62</v>
      </c>
      <c r="K113" s="66">
        <f t="shared" ref="K113:K115" si="43">J113/G113*100</f>
        <v>8.1297910414566381</v>
      </c>
      <c r="L113" s="62"/>
    </row>
    <row r="114" spans="2:12" x14ac:dyDescent="0.25">
      <c r="B114" s="10"/>
      <c r="C114" s="21"/>
      <c r="D114" s="10"/>
      <c r="E114" s="10">
        <v>9221</v>
      </c>
      <c r="F114" s="13" t="s">
        <v>169</v>
      </c>
      <c r="G114" s="55">
        <v>6834.37</v>
      </c>
      <c r="H114" s="55"/>
      <c r="I114" s="55">
        <v>555.62</v>
      </c>
      <c r="J114" s="55">
        <v>555.62</v>
      </c>
      <c r="K114" s="65">
        <f t="shared" si="43"/>
        <v>8.1297910414566381</v>
      </c>
      <c r="L114" s="61"/>
    </row>
    <row r="115" spans="2:12" x14ac:dyDescent="0.25">
      <c r="B115" s="179" t="s">
        <v>173</v>
      </c>
      <c r="C115" s="180"/>
      <c r="D115" s="180"/>
      <c r="E115" s="180"/>
      <c r="F115" s="181"/>
      <c r="G115" s="39">
        <f>+G112+G38</f>
        <v>2460791.4400000004</v>
      </c>
      <c r="H115" s="39">
        <f t="shared" ref="H115" si="44">+H112+H38</f>
        <v>2343804.17</v>
      </c>
      <c r="I115" s="39">
        <f>+I112+I38</f>
        <v>2526633.1400000006</v>
      </c>
      <c r="J115" s="39">
        <f>+J112+J38</f>
        <v>2589348.4700000002</v>
      </c>
      <c r="K115" s="79">
        <f t="shared" si="43"/>
        <v>105.22421477538948</v>
      </c>
      <c r="L115" s="80">
        <f t="shared" ref="L115" si="45">J115/I115*100</f>
        <v>102.48217000747483</v>
      </c>
    </row>
    <row r="116" spans="2:12" x14ac:dyDescent="0.25">
      <c r="G116" s="38"/>
    </row>
    <row r="117" spans="2:12" x14ac:dyDescent="0.25">
      <c r="J117" s="38"/>
    </row>
    <row r="118" spans="2:12" x14ac:dyDescent="0.25">
      <c r="G118" s="38"/>
      <c r="J118" s="38"/>
    </row>
    <row r="120" spans="2:12" x14ac:dyDescent="0.25">
      <c r="J120" s="38"/>
    </row>
  </sheetData>
  <protectedRanges>
    <protectedRange algorithmName="SHA-512" hashValue="R8frfBQ/MhInQYm+jLEgMwgPwCkrGPIUaxyIFLRSCn/+fIsUU6bmJDax/r7gTh2PEAEvgODYwg0rRRjqSM/oww==" saltValue="tbZzHO5lCNHCDH5y3XGZag==" spinCount="100000" sqref="F44" name="Range1_1_2"/>
    <protectedRange algorithmName="SHA-512" hashValue="R8frfBQ/MhInQYm+jLEgMwgPwCkrGPIUaxyIFLRSCn/+fIsUU6bmJDax/r7gTh2PEAEvgODYwg0rRRjqSM/oww==" saltValue="tbZzHO5lCNHCDH5y3XGZag==" spinCount="100000" sqref="J43" name="Range1_1_3"/>
    <protectedRange algorithmName="SHA-512" hashValue="R8frfBQ/MhInQYm+jLEgMwgPwCkrGPIUaxyIFLRSCn/+fIsUU6bmJDax/r7gTh2PEAEvgODYwg0rRRjqSM/oww==" saltValue="tbZzHO5lCNHCDH5y3XGZag==" spinCount="100000" sqref="E46:F46" name="Range1_1_5"/>
    <protectedRange algorithmName="SHA-512" hashValue="R8frfBQ/MhInQYm+jLEgMwgPwCkrGPIUaxyIFLRSCn/+fIsUU6bmJDax/r7gTh2PEAEvgODYwg0rRRjqSM/oww==" saltValue="tbZzHO5lCNHCDH5y3XGZag==" spinCount="100000" sqref="J88" name="Range1_1_9"/>
    <protectedRange algorithmName="SHA-512" hashValue="R8frfBQ/MhInQYm+jLEgMwgPwCkrGPIUaxyIFLRSCn/+fIsUU6bmJDax/r7gTh2PEAEvgODYwg0rRRjqSM/oww==" saltValue="tbZzHO5lCNHCDH5y3XGZag==" spinCount="100000" sqref="G88" name="Range1_1_9_1"/>
    <protectedRange algorithmName="SHA-512" hashValue="R8frfBQ/MhInQYm+jLEgMwgPwCkrGPIUaxyIFLRSCn/+fIsUU6bmJDax/r7gTh2PEAEvgODYwg0rRRjqSM/oww==" saltValue="tbZzHO5lCNHCDH5y3XGZag==" spinCount="100000" sqref="G43" name="Range1_1_3_2"/>
  </protectedRanges>
  <mergeCells count="15">
    <mergeCell ref="B115:F115"/>
    <mergeCell ref="B37:F37"/>
    <mergeCell ref="B6:F6"/>
    <mergeCell ref="B36:F36"/>
    <mergeCell ref="B5:F5"/>
    <mergeCell ref="B28:F28"/>
    <mergeCell ref="B29:F29"/>
    <mergeCell ref="B35:L35"/>
    <mergeCell ref="B1:L1"/>
    <mergeCell ref="B2:L2"/>
    <mergeCell ref="B3:L3"/>
    <mergeCell ref="B110:F110"/>
    <mergeCell ref="B111:F111"/>
    <mergeCell ref="B33:F33"/>
    <mergeCell ref="B4:L4"/>
  </mergeCells>
  <pageMargins left="0.7" right="0.7" top="0.75" bottom="0.75" header="0.3" footer="0.3"/>
  <pageSetup paperSize="9" scale="84" fitToHeight="0" orientation="landscape" r:id="rId1"/>
  <rowBreaks count="4" manualBreakCount="4">
    <brk id="26" min="1" max="11" man="1"/>
    <brk id="33" min="1" max="11" man="1"/>
    <brk id="70" min="1" max="11" man="1"/>
    <brk id="109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0"/>
  <sheetViews>
    <sheetView topLeftCell="A16" zoomScaleNormal="100" workbookViewId="0">
      <selection activeCell="H13" sqref="H13"/>
    </sheetView>
  </sheetViews>
  <sheetFormatPr defaultRowHeight="15" x14ac:dyDescent="0.25"/>
  <cols>
    <col min="1" max="1" width="3.42578125" customWidth="1"/>
    <col min="2" max="2" width="5.42578125" bestFit="1" customWidth="1"/>
    <col min="3" max="3" width="44.7109375" customWidth="1"/>
    <col min="4" max="4" width="13.42578125" customWidth="1"/>
    <col min="5" max="5" width="14.5703125" bestFit="1" customWidth="1"/>
    <col min="6" max="6" width="13.28515625" customWidth="1"/>
    <col min="7" max="7" width="14.42578125" bestFit="1" customWidth="1"/>
    <col min="8" max="8" width="10.140625" bestFit="1" customWidth="1"/>
    <col min="9" max="9" width="14" customWidth="1"/>
  </cols>
  <sheetData>
    <row r="1" spans="2:10" ht="19.5" customHeight="1" x14ac:dyDescent="0.25">
      <c r="B1" s="48"/>
      <c r="C1" s="48"/>
      <c r="D1" s="48"/>
      <c r="E1" s="48"/>
      <c r="F1" s="48"/>
      <c r="G1" s="48"/>
      <c r="H1" s="48"/>
      <c r="I1" s="48"/>
      <c r="J1" s="48"/>
    </row>
    <row r="2" spans="2:10" ht="15.75" customHeight="1" x14ac:dyDescent="0.25">
      <c r="B2" s="164" t="s">
        <v>208</v>
      </c>
      <c r="C2" s="164"/>
      <c r="D2" s="164"/>
      <c r="E2" s="164"/>
      <c r="F2" s="164"/>
      <c r="G2" s="164"/>
      <c r="H2" s="164"/>
      <c r="I2" s="164"/>
    </row>
    <row r="3" spans="2:10" ht="15.75" customHeight="1" x14ac:dyDescent="0.25">
      <c r="B3" s="164"/>
      <c r="C3" s="164"/>
      <c r="D3" s="164"/>
      <c r="E3" s="164"/>
      <c r="F3" s="164"/>
      <c r="G3" s="164"/>
      <c r="H3" s="164"/>
      <c r="I3" s="164"/>
    </row>
    <row r="4" spans="2:10" ht="18" x14ac:dyDescent="0.25">
      <c r="B4" s="3"/>
      <c r="C4" s="3"/>
      <c r="D4" s="3"/>
      <c r="E4" s="3"/>
      <c r="F4" s="3"/>
      <c r="G4" s="4"/>
      <c r="H4" s="4"/>
      <c r="I4" s="138" t="s">
        <v>33</v>
      </c>
    </row>
    <row r="5" spans="2:10" ht="38.25" x14ac:dyDescent="0.25">
      <c r="B5" s="51" t="s">
        <v>7</v>
      </c>
      <c r="C5" s="54" t="s">
        <v>3</v>
      </c>
      <c r="D5" s="51" t="s">
        <v>205</v>
      </c>
      <c r="E5" s="51" t="s">
        <v>200</v>
      </c>
      <c r="F5" s="51" t="s">
        <v>201</v>
      </c>
      <c r="G5" s="51" t="s">
        <v>206</v>
      </c>
      <c r="H5" s="51" t="s">
        <v>202</v>
      </c>
      <c r="I5" s="51" t="s">
        <v>203</v>
      </c>
    </row>
    <row r="6" spans="2:10" x14ac:dyDescent="0.25">
      <c r="B6" s="149"/>
      <c r="C6" s="151"/>
      <c r="D6" s="52">
        <v>2</v>
      </c>
      <c r="E6" s="52">
        <v>3</v>
      </c>
      <c r="F6" s="52">
        <v>4</v>
      </c>
      <c r="G6" s="52">
        <v>5</v>
      </c>
      <c r="H6" s="52" t="s">
        <v>86</v>
      </c>
      <c r="I6" s="52" t="s">
        <v>85</v>
      </c>
    </row>
    <row r="7" spans="2:10" s="68" customFormat="1" x14ac:dyDescent="0.25">
      <c r="B7" s="88"/>
      <c r="C7" s="88" t="s">
        <v>170</v>
      </c>
      <c r="D7" s="89">
        <f>+D8+D11+D13+D15+D17</f>
        <v>2454512.69</v>
      </c>
      <c r="E7" s="89">
        <f>+E8+E11+E13+E15+E17</f>
        <v>2343804.17</v>
      </c>
      <c r="F7" s="89">
        <f>+F8+F11+F13+F15+F17</f>
        <v>2526077.52</v>
      </c>
      <c r="G7" s="89">
        <f>+G8+G11+G13+G15+G17</f>
        <v>2523498.2999999998</v>
      </c>
      <c r="H7" s="91">
        <f>G7/D7*100</f>
        <v>102.81056236869568</v>
      </c>
      <c r="I7" s="91">
        <f>G7/F7*100</f>
        <v>99.897896245084354</v>
      </c>
    </row>
    <row r="8" spans="2:10" x14ac:dyDescent="0.25">
      <c r="B8" s="94"/>
      <c r="C8" s="87" t="s">
        <v>88</v>
      </c>
      <c r="D8" s="59">
        <f>SUM(D9:D10)</f>
        <v>1449120.85</v>
      </c>
      <c r="E8" s="59">
        <f t="shared" ref="E8:G8" si="0">SUM(E9:E10)</f>
        <v>1241754.17</v>
      </c>
      <c r="F8" s="59">
        <f>SUM(F9:F10)</f>
        <v>1325754.17</v>
      </c>
      <c r="G8" s="59">
        <f t="shared" si="0"/>
        <v>1325060.55</v>
      </c>
      <c r="H8" s="92">
        <f t="shared" ref="H8:H18" si="1">G8/D8*100</f>
        <v>91.438926573998287</v>
      </c>
      <c r="I8" s="92">
        <f t="shared" ref="I8:I36" si="2">G8/F8*100</f>
        <v>99.947681099882956</v>
      </c>
    </row>
    <row r="9" spans="2:10" s="28" customFormat="1" x14ac:dyDescent="0.25">
      <c r="B9" s="95">
        <v>11</v>
      </c>
      <c r="C9" s="90" t="s">
        <v>51</v>
      </c>
      <c r="D9" s="58">
        <v>639805</v>
      </c>
      <c r="E9" s="58">
        <f>607952+11945+19908</f>
        <v>639805</v>
      </c>
      <c r="F9" s="58">
        <v>639805</v>
      </c>
      <c r="G9" s="58">
        <v>639805</v>
      </c>
      <c r="H9" s="93">
        <f t="shared" si="1"/>
        <v>100</v>
      </c>
      <c r="I9" s="93">
        <f t="shared" si="2"/>
        <v>100</v>
      </c>
    </row>
    <row r="10" spans="2:10" s="28" customFormat="1" x14ac:dyDescent="0.25">
      <c r="B10" s="95" t="s">
        <v>171</v>
      </c>
      <c r="C10" s="90" t="s">
        <v>9</v>
      </c>
      <c r="D10" s="58">
        <v>809315.85</v>
      </c>
      <c r="E10" s="58">
        <f>565680+30000+6269.17</f>
        <v>601949.17000000004</v>
      </c>
      <c r="F10" s="58">
        <f>+E10+84000</f>
        <v>685949.17</v>
      </c>
      <c r="G10" s="58">
        <v>685255.55</v>
      </c>
      <c r="H10" s="93">
        <f t="shared" si="1"/>
        <v>84.670966224126218</v>
      </c>
      <c r="I10" s="93">
        <f t="shared" si="2"/>
        <v>99.898881720346708</v>
      </c>
    </row>
    <row r="11" spans="2:10" x14ac:dyDescent="0.25">
      <c r="B11" s="94"/>
      <c r="C11" s="87" t="s">
        <v>89</v>
      </c>
      <c r="D11" s="59">
        <f>SUM(D12)</f>
        <v>1095.55</v>
      </c>
      <c r="E11" s="59">
        <f t="shared" ref="E11:G11" si="3">SUM(E12)</f>
        <v>50</v>
      </c>
      <c r="F11" s="59">
        <f t="shared" si="3"/>
        <v>559.70000000000005</v>
      </c>
      <c r="G11" s="59">
        <f t="shared" si="3"/>
        <v>559.70000000000005</v>
      </c>
      <c r="H11" s="92">
        <f t="shared" si="1"/>
        <v>51.088494363561686</v>
      </c>
      <c r="I11" s="92">
        <f t="shared" si="2"/>
        <v>100</v>
      </c>
    </row>
    <row r="12" spans="2:10" s="28" customFormat="1" x14ac:dyDescent="0.25">
      <c r="B12" s="95">
        <v>32</v>
      </c>
      <c r="C12" s="90" t="s">
        <v>42</v>
      </c>
      <c r="D12" s="58">
        <v>1095.55</v>
      </c>
      <c r="E12" s="58">
        <v>50</v>
      </c>
      <c r="F12" s="58">
        <v>559.70000000000005</v>
      </c>
      <c r="G12" s="58">
        <v>559.70000000000005</v>
      </c>
      <c r="H12" s="93">
        <f t="shared" si="1"/>
        <v>51.088494363561686</v>
      </c>
      <c r="I12" s="93">
        <f t="shared" si="2"/>
        <v>100</v>
      </c>
    </row>
    <row r="13" spans="2:10" x14ac:dyDescent="0.25">
      <c r="B13" s="94"/>
      <c r="C13" s="87" t="s">
        <v>177</v>
      </c>
      <c r="D13" s="59">
        <f>SUM(D14)</f>
        <v>970063.23</v>
      </c>
      <c r="E13" s="59">
        <f t="shared" ref="E13:G13" si="4">SUM(E14)</f>
        <v>1100000</v>
      </c>
      <c r="F13" s="59">
        <f t="shared" si="4"/>
        <v>1180000</v>
      </c>
      <c r="G13" s="59">
        <f t="shared" si="4"/>
        <v>1174241.2799999998</v>
      </c>
      <c r="H13" s="92">
        <f t="shared" si="1"/>
        <v>121.04791148511008</v>
      </c>
      <c r="I13" s="92">
        <f t="shared" si="2"/>
        <v>99.511972881355916</v>
      </c>
    </row>
    <row r="14" spans="2:10" s="28" customFormat="1" x14ac:dyDescent="0.25">
      <c r="B14" s="95">
        <v>43</v>
      </c>
      <c r="C14" s="90" t="s">
        <v>39</v>
      </c>
      <c r="D14" s="58">
        <v>970063.23</v>
      </c>
      <c r="E14" s="58">
        <v>1100000</v>
      </c>
      <c r="F14" s="58">
        <v>1180000</v>
      </c>
      <c r="G14" s="58">
        <f>1174796.9-555.62</f>
        <v>1174241.2799999998</v>
      </c>
      <c r="H14" s="93">
        <f t="shared" si="1"/>
        <v>121.04791148511008</v>
      </c>
      <c r="I14" s="93">
        <f t="shared" si="2"/>
        <v>99.511972881355916</v>
      </c>
    </row>
    <row r="15" spans="2:10" x14ac:dyDescent="0.25">
      <c r="B15" s="94"/>
      <c r="C15" s="87" t="s">
        <v>178</v>
      </c>
      <c r="D15" s="59">
        <f>SUM(D16)</f>
        <v>15492.33</v>
      </c>
      <c r="E15" s="59">
        <f t="shared" ref="E15:G15" si="5">SUM(E16)</f>
        <v>1000</v>
      </c>
      <c r="F15" s="59">
        <f t="shared" si="5"/>
        <v>18050.75</v>
      </c>
      <c r="G15" s="59">
        <f t="shared" si="5"/>
        <v>18550.75</v>
      </c>
      <c r="H15" s="92">
        <f t="shared" si="1"/>
        <v>119.74151079921485</v>
      </c>
      <c r="I15" s="92">
        <f t="shared" si="2"/>
        <v>102.76996800686953</v>
      </c>
    </row>
    <row r="16" spans="2:10" s="28" customFormat="1" x14ac:dyDescent="0.25">
      <c r="B16" s="95">
        <v>52</v>
      </c>
      <c r="C16" s="90" t="s">
        <v>35</v>
      </c>
      <c r="D16" s="58">
        <v>15492.33</v>
      </c>
      <c r="E16" s="58">
        <v>1000</v>
      </c>
      <c r="F16" s="58">
        <v>18050.75</v>
      </c>
      <c r="G16" s="58">
        <v>18550.75</v>
      </c>
      <c r="H16" s="93">
        <f>G16/D16*100</f>
        <v>119.74151079921485</v>
      </c>
      <c r="I16" s="93">
        <f t="shared" si="2"/>
        <v>102.76996800686953</v>
      </c>
    </row>
    <row r="17" spans="2:10" x14ac:dyDescent="0.25">
      <c r="B17" s="96"/>
      <c r="C17" s="87" t="s">
        <v>179</v>
      </c>
      <c r="D17" s="59">
        <f>SUM(D18)</f>
        <v>18740.73</v>
      </c>
      <c r="E17" s="59">
        <f t="shared" ref="E17:G17" si="6">SUM(E18)</f>
        <v>1000</v>
      </c>
      <c r="F17" s="59">
        <f t="shared" si="6"/>
        <v>1712.9</v>
      </c>
      <c r="G17" s="59">
        <f t="shared" si="6"/>
        <v>5086.0200000000004</v>
      </c>
      <c r="H17" s="92">
        <f t="shared" si="1"/>
        <v>27.138857451123837</v>
      </c>
      <c r="I17" s="92">
        <f t="shared" si="2"/>
        <v>296.92451398213558</v>
      </c>
    </row>
    <row r="18" spans="2:10" s="28" customFormat="1" x14ac:dyDescent="0.25">
      <c r="B18" s="95">
        <v>61</v>
      </c>
      <c r="C18" s="90" t="s">
        <v>44</v>
      </c>
      <c r="D18" s="58">
        <v>18740.73</v>
      </c>
      <c r="E18" s="58">
        <v>1000</v>
      </c>
      <c r="F18" s="58">
        <v>1712.9</v>
      </c>
      <c r="G18" s="58">
        <v>5086.0200000000004</v>
      </c>
      <c r="H18" s="93">
        <f t="shared" si="1"/>
        <v>27.138857451123837</v>
      </c>
      <c r="I18" s="93">
        <f t="shared" si="2"/>
        <v>296.92451398213558</v>
      </c>
    </row>
    <row r="19" spans="2:10" x14ac:dyDescent="0.25">
      <c r="B19" s="184" t="s">
        <v>195</v>
      </c>
      <c r="C19" s="185"/>
      <c r="D19" s="185"/>
      <c r="E19" s="185"/>
      <c r="F19" s="185"/>
      <c r="G19" s="185"/>
      <c r="H19" s="185"/>
      <c r="I19" s="186"/>
    </row>
    <row r="20" spans="2:10" s="68" customFormat="1" x14ac:dyDescent="0.25">
      <c r="B20" s="94"/>
      <c r="C20" s="87" t="s">
        <v>84</v>
      </c>
      <c r="D20" s="59">
        <f>SUM(D21)</f>
        <v>6834.3699999998789</v>
      </c>
      <c r="E20" s="59">
        <f t="shared" ref="E20:G20" si="7">SUM(E21)</f>
        <v>0</v>
      </c>
      <c r="F20" s="59">
        <f t="shared" si="7"/>
        <v>555.62</v>
      </c>
      <c r="G20" s="59">
        <f t="shared" si="7"/>
        <v>555.62</v>
      </c>
      <c r="H20" s="92">
        <f t="shared" ref="H20:H21" si="8">G20/D20*100</f>
        <v>8.129791041456782</v>
      </c>
      <c r="I20" s="92">
        <f t="shared" ref="I20:I21" si="9">G20/F20*100</f>
        <v>100</v>
      </c>
    </row>
    <row r="21" spans="2:10" s="28" customFormat="1" x14ac:dyDescent="0.25">
      <c r="B21" s="95" t="s">
        <v>194</v>
      </c>
      <c r="C21" s="90" t="s">
        <v>186</v>
      </c>
      <c r="D21" s="58">
        <v>6834.3699999998789</v>
      </c>
      <c r="E21" s="58">
        <v>0</v>
      </c>
      <c r="F21" s="58">
        <v>555.62</v>
      </c>
      <c r="G21" s="58">
        <v>555.62</v>
      </c>
      <c r="H21" s="93">
        <f t="shared" si="8"/>
        <v>8.129791041456782</v>
      </c>
      <c r="I21" s="93">
        <f t="shared" si="9"/>
        <v>100</v>
      </c>
    </row>
    <row r="22" spans="2:10" s="28" customFormat="1" x14ac:dyDescent="0.25">
      <c r="B22" s="179" t="s">
        <v>172</v>
      </c>
      <c r="C22" s="180"/>
      <c r="D22" s="135">
        <f>+D7+D20</f>
        <v>2461347.0599999996</v>
      </c>
      <c r="E22" s="135">
        <f t="shared" ref="E22:G22" si="10">+E7+E20</f>
        <v>2343804.17</v>
      </c>
      <c r="F22" s="135">
        <f t="shared" si="10"/>
        <v>2526633.14</v>
      </c>
      <c r="G22" s="135">
        <f t="shared" si="10"/>
        <v>2524053.92</v>
      </c>
      <c r="H22" s="134">
        <f>G22/D22*100</f>
        <v>102.54766428591344</v>
      </c>
      <c r="I22" s="134">
        <f>G22/F22*100</f>
        <v>99.897918698240446</v>
      </c>
    </row>
    <row r="23" spans="2:10" s="28" customFormat="1" x14ac:dyDescent="0.25">
      <c r="B23" s="132"/>
      <c r="C23" s="133"/>
      <c r="D23" s="58"/>
      <c r="E23" s="58"/>
      <c r="F23" s="58"/>
      <c r="G23" s="58"/>
      <c r="H23" s="93"/>
      <c r="I23" s="93"/>
    </row>
    <row r="24" spans="2:10" x14ac:dyDescent="0.25">
      <c r="B24" s="97"/>
      <c r="C24" s="88" t="s">
        <v>16</v>
      </c>
      <c r="D24" s="89">
        <f>+D25+D28+D30+D33+D35</f>
        <v>2460791.44</v>
      </c>
      <c r="E24" s="89">
        <f t="shared" ref="E24:G24" si="11">+E25+E28+E30+E33+E35</f>
        <v>2343804.17</v>
      </c>
      <c r="F24" s="89">
        <f t="shared" si="11"/>
        <v>2526633.14</v>
      </c>
      <c r="G24" s="89">
        <f t="shared" si="11"/>
        <v>2589348.4700000002</v>
      </c>
      <c r="H24" s="91">
        <f t="shared" ref="H24:H36" si="12">G24/D24*100</f>
        <v>105.2242147753895</v>
      </c>
      <c r="I24" s="91">
        <f t="shared" si="2"/>
        <v>102.48217000747486</v>
      </c>
    </row>
    <row r="25" spans="2:10" s="68" customFormat="1" x14ac:dyDescent="0.25">
      <c r="B25" s="94"/>
      <c r="C25" s="87" t="s">
        <v>88</v>
      </c>
      <c r="D25" s="59">
        <f>SUM(D26:D27)</f>
        <v>1449120.85</v>
      </c>
      <c r="E25" s="59">
        <f t="shared" ref="E25:G25" si="13">SUM(E26:E27)</f>
        <v>1241754.17</v>
      </c>
      <c r="F25" s="59">
        <f t="shared" si="13"/>
        <v>1325754.17</v>
      </c>
      <c r="G25" s="59">
        <f t="shared" si="13"/>
        <v>1325060.55</v>
      </c>
      <c r="H25" s="92">
        <f t="shared" si="12"/>
        <v>91.438926573998287</v>
      </c>
      <c r="I25" s="92">
        <f t="shared" si="2"/>
        <v>99.947681099882956</v>
      </c>
    </row>
    <row r="26" spans="2:10" s="28" customFormat="1" x14ac:dyDescent="0.25">
      <c r="B26" s="95">
        <v>11</v>
      </c>
      <c r="C26" s="90" t="s">
        <v>51</v>
      </c>
      <c r="D26" s="58">
        <v>639805</v>
      </c>
      <c r="E26" s="58">
        <f>E9</f>
        <v>639805</v>
      </c>
      <c r="F26" s="58">
        <f>F9</f>
        <v>639805</v>
      </c>
      <c r="G26" s="58">
        <f>'POSEBNI DIO'!H8+'POSEBNI DIO'!H122+'POSEBNI DIO'!H149</f>
        <v>639805</v>
      </c>
      <c r="H26" s="93">
        <f t="shared" si="12"/>
        <v>100</v>
      </c>
      <c r="I26" s="93">
        <f t="shared" si="2"/>
        <v>100</v>
      </c>
    </row>
    <row r="27" spans="2:10" s="28" customFormat="1" x14ac:dyDescent="0.25">
      <c r="B27" s="95" t="s">
        <v>171</v>
      </c>
      <c r="C27" s="90" t="s">
        <v>9</v>
      </c>
      <c r="D27" s="58">
        <v>809315.85</v>
      </c>
      <c r="E27" s="58">
        <f>E10</f>
        <v>601949.17000000004</v>
      </c>
      <c r="F27" s="58">
        <f>F10</f>
        <v>685949.17</v>
      </c>
      <c r="G27" s="58">
        <f>+'POSEBNI DIO'!H38+'POSEBNI DIO'!H130+'POSEBNI DIO'!H164</f>
        <v>685255.55</v>
      </c>
      <c r="H27" s="93">
        <f t="shared" si="12"/>
        <v>84.670966224126218</v>
      </c>
      <c r="I27" s="93">
        <f t="shared" si="2"/>
        <v>99.898881720346708</v>
      </c>
    </row>
    <row r="28" spans="2:10" s="68" customFormat="1" x14ac:dyDescent="0.25">
      <c r="B28" s="94"/>
      <c r="C28" s="87" t="s">
        <v>89</v>
      </c>
      <c r="D28" s="59">
        <f>SUM(D29)</f>
        <v>1095.55</v>
      </c>
      <c r="E28" s="59">
        <f t="shared" ref="E28:G28" si="14">SUM(E29)</f>
        <v>50</v>
      </c>
      <c r="F28" s="59">
        <f t="shared" si="14"/>
        <v>559.70000000000005</v>
      </c>
      <c r="G28" s="59">
        <f t="shared" si="14"/>
        <v>559.70000000000005</v>
      </c>
      <c r="H28" s="92">
        <f t="shared" si="12"/>
        <v>51.088494363561686</v>
      </c>
      <c r="I28" s="92">
        <f t="shared" si="2"/>
        <v>100</v>
      </c>
    </row>
    <row r="29" spans="2:10" s="28" customFormat="1" x14ac:dyDescent="0.25">
      <c r="B29" s="95">
        <v>32</v>
      </c>
      <c r="C29" s="90" t="s">
        <v>42</v>
      </c>
      <c r="D29" s="58">
        <v>1095.55</v>
      </c>
      <c r="E29" s="58">
        <f>E12</f>
        <v>50</v>
      </c>
      <c r="F29" s="58">
        <f>F12</f>
        <v>559.70000000000005</v>
      </c>
      <c r="G29" s="58">
        <f>+'POSEBNI DIO'!H61</f>
        <v>559.70000000000005</v>
      </c>
      <c r="H29" s="93">
        <f t="shared" si="12"/>
        <v>51.088494363561686</v>
      </c>
      <c r="I29" s="93">
        <f t="shared" si="2"/>
        <v>100</v>
      </c>
    </row>
    <row r="30" spans="2:10" s="68" customFormat="1" x14ac:dyDescent="0.25">
      <c r="B30" s="94"/>
      <c r="C30" s="87" t="s">
        <v>177</v>
      </c>
      <c r="D30" s="59">
        <f>SUM(D31:D32)</f>
        <v>976341.98</v>
      </c>
      <c r="E30" s="59">
        <f t="shared" ref="E30:F30" si="15">SUM(E31:E32)</f>
        <v>1100000</v>
      </c>
      <c r="F30" s="59">
        <f t="shared" si="15"/>
        <v>1180555.6200000001</v>
      </c>
      <c r="G30" s="59">
        <f>SUM(G31:G32)</f>
        <v>1240091.4500000002</v>
      </c>
      <c r="H30" s="92">
        <f t="shared" si="12"/>
        <v>127.01404583668523</v>
      </c>
      <c r="I30" s="92">
        <f t="shared" si="2"/>
        <v>105.04303473647434</v>
      </c>
    </row>
    <row r="31" spans="2:10" s="28" customFormat="1" x14ac:dyDescent="0.25">
      <c r="B31" s="95" t="s">
        <v>193</v>
      </c>
      <c r="C31" s="90" t="s">
        <v>39</v>
      </c>
      <c r="D31" s="58">
        <v>969507.61</v>
      </c>
      <c r="E31" s="58">
        <f>E14</f>
        <v>1100000</v>
      </c>
      <c r="F31" s="58">
        <f>F14</f>
        <v>1180000</v>
      </c>
      <c r="G31" s="58">
        <f>+'POSEBNI DIO'!H66</f>
        <v>1239535.83</v>
      </c>
      <c r="H31" s="93">
        <f t="shared" si="12"/>
        <v>127.8520990670718</v>
      </c>
      <c r="I31" s="93">
        <f t="shared" si="2"/>
        <v>105.0454093220339</v>
      </c>
    </row>
    <row r="32" spans="2:10" s="101" customFormat="1" ht="12.75" x14ac:dyDescent="0.2">
      <c r="B32" s="15" t="s">
        <v>194</v>
      </c>
      <c r="C32" s="15" t="s">
        <v>186</v>
      </c>
      <c r="D32" s="98">
        <v>6834.37</v>
      </c>
      <c r="E32" s="98">
        <f>E21</f>
        <v>0</v>
      </c>
      <c r="F32" s="98">
        <f>F21</f>
        <v>555.62</v>
      </c>
      <c r="G32" s="98">
        <f>'POSEBNI DIO'!H105</f>
        <v>555.62</v>
      </c>
      <c r="H32" s="99">
        <f t="shared" si="12"/>
        <v>8.1297910414566381</v>
      </c>
      <c r="I32" s="99">
        <f>G32/F32*100</f>
        <v>100</v>
      </c>
      <c r="J32" s="100"/>
    </row>
    <row r="33" spans="2:9" s="68" customFormat="1" x14ac:dyDescent="0.25">
      <c r="B33" s="94"/>
      <c r="C33" s="87" t="s">
        <v>178</v>
      </c>
      <c r="D33" s="59">
        <f>SUM(D34)</f>
        <v>15492.33</v>
      </c>
      <c r="E33" s="59">
        <f t="shared" ref="E33:G33" si="16">SUM(E34)</f>
        <v>1000</v>
      </c>
      <c r="F33" s="59">
        <f t="shared" si="16"/>
        <v>18050.75</v>
      </c>
      <c r="G33" s="59">
        <f t="shared" si="16"/>
        <v>18550.75</v>
      </c>
      <c r="H33" s="92">
        <f t="shared" si="12"/>
        <v>119.74151079921485</v>
      </c>
      <c r="I33" s="92">
        <f t="shared" si="2"/>
        <v>102.76996800686953</v>
      </c>
    </row>
    <row r="34" spans="2:9" s="28" customFormat="1" x14ac:dyDescent="0.25">
      <c r="B34" s="95">
        <v>52</v>
      </c>
      <c r="C34" s="90" t="s">
        <v>35</v>
      </c>
      <c r="D34" s="58">
        <v>15492.33</v>
      </c>
      <c r="E34" s="58">
        <f>E16</f>
        <v>1000</v>
      </c>
      <c r="F34" s="58">
        <f>F16</f>
        <v>18050.75</v>
      </c>
      <c r="G34" s="58">
        <f>'POSEBNI DIO'!H110+'POSEBNI DIO'!H133</f>
        <v>18550.75</v>
      </c>
      <c r="H34" s="93">
        <f t="shared" si="12"/>
        <v>119.74151079921485</v>
      </c>
      <c r="I34" s="93">
        <f t="shared" si="2"/>
        <v>102.76996800686953</v>
      </c>
    </row>
    <row r="35" spans="2:9" s="68" customFormat="1" x14ac:dyDescent="0.25">
      <c r="B35" s="94"/>
      <c r="C35" s="87" t="s">
        <v>179</v>
      </c>
      <c r="D35" s="59">
        <f>SUM(D36)</f>
        <v>18740.73</v>
      </c>
      <c r="E35" s="59">
        <f t="shared" ref="E35:G35" si="17">SUM(E36)</f>
        <v>1000</v>
      </c>
      <c r="F35" s="59">
        <f t="shared" si="17"/>
        <v>1712.9</v>
      </c>
      <c r="G35" s="59">
        <f t="shared" si="17"/>
        <v>5086.0200000000004</v>
      </c>
      <c r="H35" s="92">
        <f t="shared" si="12"/>
        <v>27.138857451123837</v>
      </c>
      <c r="I35" s="92">
        <f t="shared" si="2"/>
        <v>296.92451398213558</v>
      </c>
    </row>
    <row r="36" spans="2:9" s="28" customFormat="1" x14ac:dyDescent="0.25">
      <c r="B36" s="95">
        <v>61</v>
      </c>
      <c r="C36" s="90" t="s">
        <v>44</v>
      </c>
      <c r="D36" s="58">
        <v>18740.73</v>
      </c>
      <c r="E36" s="58">
        <f>E18</f>
        <v>1000</v>
      </c>
      <c r="F36" s="58">
        <f>F18</f>
        <v>1712.9</v>
      </c>
      <c r="G36" s="58">
        <f>+'POSEBNI DIO'!H116+'POSEBNI DIO'!H143+'POSEBNI DIO'!H168</f>
        <v>5086.0200000000004</v>
      </c>
      <c r="H36" s="93">
        <f t="shared" si="12"/>
        <v>27.138857451123837</v>
      </c>
      <c r="I36" s="93">
        <f t="shared" si="2"/>
        <v>296.92451398213558</v>
      </c>
    </row>
    <row r="38" spans="2:9" x14ac:dyDescent="0.25">
      <c r="G38" s="38"/>
    </row>
    <row r="39" spans="2:9" x14ac:dyDescent="0.25">
      <c r="G39" s="38"/>
    </row>
    <row r="40" spans="2:9" x14ac:dyDescent="0.25">
      <c r="G40" s="38"/>
    </row>
  </sheetData>
  <mergeCells count="5">
    <mergeCell ref="B22:C22"/>
    <mergeCell ref="B6:C6"/>
    <mergeCell ref="B3:I3"/>
    <mergeCell ref="B2:I2"/>
    <mergeCell ref="B19:I19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Normal="100" workbookViewId="0">
      <selection activeCell="E12" sqref="E12"/>
    </sheetView>
  </sheetViews>
  <sheetFormatPr defaultRowHeight="15" x14ac:dyDescent="0.25"/>
  <cols>
    <col min="1" max="1" width="37.7109375" style="30" customWidth="1"/>
    <col min="2" max="2" width="14.42578125" style="30" bestFit="1" customWidth="1"/>
    <col min="3" max="3" width="17" bestFit="1" customWidth="1"/>
    <col min="4" max="4" width="16.85546875" bestFit="1" customWidth="1"/>
    <col min="5" max="5" width="20.85546875" bestFit="1" customWidth="1"/>
    <col min="6" max="6" width="10.140625" bestFit="1" customWidth="1"/>
    <col min="7" max="7" width="14" bestFit="1" customWidth="1"/>
  </cols>
  <sheetData>
    <row r="1" spans="1:7" ht="21" customHeight="1" x14ac:dyDescent="0.25">
      <c r="A1" s="164" t="s">
        <v>20</v>
      </c>
      <c r="B1" s="164"/>
      <c r="C1" s="164"/>
      <c r="D1" s="164"/>
      <c r="E1" s="164"/>
      <c r="F1" s="164"/>
      <c r="G1" s="164"/>
    </row>
    <row r="2" spans="1:7" ht="18" x14ac:dyDescent="0.25">
      <c r="A2" s="29"/>
      <c r="B2" s="29"/>
      <c r="C2" s="3"/>
      <c r="D2" s="3"/>
      <c r="E2" s="4"/>
      <c r="F2" s="4"/>
    </row>
    <row r="3" spans="1:7" ht="18" customHeight="1" x14ac:dyDescent="0.25">
      <c r="A3" s="164" t="s">
        <v>4</v>
      </c>
      <c r="B3" s="164"/>
      <c r="C3" s="164"/>
      <c r="D3" s="164"/>
      <c r="E3" s="164"/>
      <c r="F3" s="164"/>
      <c r="G3" s="164"/>
    </row>
    <row r="4" spans="1:7" ht="15.75" customHeight="1" x14ac:dyDescent="0.25">
      <c r="A4" s="164" t="s">
        <v>14</v>
      </c>
      <c r="B4" s="164"/>
      <c r="C4" s="164"/>
      <c r="D4" s="164"/>
      <c r="E4" s="164"/>
      <c r="F4" s="164"/>
      <c r="G4" s="164"/>
    </row>
    <row r="5" spans="1:7" ht="18" x14ac:dyDescent="0.25">
      <c r="A5" s="29"/>
      <c r="B5" s="29"/>
      <c r="C5" s="3"/>
      <c r="D5" s="3"/>
      <c r="E5" s="4"/>
      <c r="F5" s="4"/>
      <c r="G5" s="138" t="s">
        <v>33</v>
      </c>
    </row>
    <row r="6" spans="1:7" ht="38.25" x14ac:dyDescent="0.25">
      <c r="A6" s="51" t="s">
        <v>15</v>
      </c>
      <c r="B6" s="54" t="s">
        <v>205</v>
      </c>
      <c r="C6" s="51" t="s">
        <v>200</v>
      </c>
      <c r="D6" s="51" t="s">
        <v>201</v>
      </c>
      <c r="E6" s="51" t="s">
        <v>206</v>
      </c>
      <c r="F6" s="51" t="s">
        <v>202</v>
      </c>
      <c r="G6" s="51" t="s">
        <v>203</v>
      </c>
    </row>
    <row r="7" spans="1:7" s="109" customFormat="1" x14ac:dyDescent="0.25">
      <c r="A7" s="111"/>
      <c r="B7" s="77">
        <v>2</v>
      </c>
      <c r="C7" s="78">
        <v>3</v>
      </c>
      <c r="D7" s="52">
        <v>4</v>
      </c>
      <c r="E7" s="52">
        <v>5</v>
      </c>
      <c r="F7" s="52" t="s">
        <v>86</v>
      </c>
      <c r="G7" s="52" t="s">
        <v>85</v>
      </c>
    </row>
    <row r="8" spans="1:7" ht="15.75" customHeight="1" x14ac:dyDescent="0.25">
      <c r="A8" s="9" t="s">
        <v>16</v>
      </c>
      <c r="B8" s="102">
        <f>B10</f>
        <v>2460791.44</v>
      </c>
      <c r="C8" s="102">
        <f t="shared" ref="C8:E8" si="0">C10</f>
        <v>2343804.17</v>
      </c>
      <c r="D8" s="102">
        <f t="shared" si="0"/>
        <v>2526633.14</v>
      </c>
      <c r="E8" s="102">
        <f t="shared" si="0"/>
        <v>2589348.4700000002</v>
      </c>
      <c r="F8" s="102">
        <f>E8/B8*100</f>
        <v>105.2242147753895</v>
      </c>
      <c r="G8" s="102">
        <f>E8/D8*100</f>
        <v>102.48217000747486</v>
      </c>
    </row>
    <row r="9" spans="1:7" ht="15.75" customHeight="1" x14ac:dyDescent="0.25">
      <c r="A9" s="31" t="s">
        <v>56</v>
      </c>
      <c r="B9" s="103"/>
      <c r="C9" s="104"/>
      <c r="D9" s="104"/>
      <c r="E9" s="104"/>
      <c r="F9" s="102"/>
      <c r="G9" s="102"/>
    </row>
    <row r="10" spans="1:7" x14ac:dyDescent="0.25">
      <c r="A10" s="31" t="s">
        <v>57</v>
      </c>
      <c r="B10" s="105">
        <f>SUM(B11:B19)</f>
        <v>2460791.44</v>
      </c>
      <c r="C10" s="105">
        <f t="shared" ref="C10:E10" si="1">SUM(C11:C19)</f>
        <v>2343804.17</v>
      </c>
      <c r="D10" s="105">
        <f t="shared" si="1"/>
        <v>2526633.14</v>
      </c>
      <c r="E10" s="105">
        <f t="shared" si="1"/>
        <v>2589348.4700000002</v>
      </c>
      <c r="F10" s="102">
        <f t="shared" ref="F10:F12" si="2">E10/B10*100</f>
        <v>105.2242147753895</v>
      </c>
      <c r="G10" s="102">
        <f t="shared" ref="G10:G12" si="3">E10/D10*100</f>
        <v>102.48217000747486</v>
      </c>
    </row>
    <row r="11" spans="1:7" s="28" customFormat="1" x14ac:dyDescent="0.25">
      <c r="A11" s="32" t="s">
        <v>58</v>
      </c>
      <c r="B11" s="106"/>
      <c r="C11" s="33"/>
      <c r="D11" s="33"/>
      <c r="E11" s="33"/>
      <c r="F11" s="102"/>
      <c r="G11" s="102"/>
    </row>
    <row r="12" spans="1:7" s="28" customFormat="1" x14ac:dyDescent="0.25">
      <c r="A12" s="32" t="s">
        <v>59</v>
      </c>
      <c r="B12" s="107">
        <f>'Prema izvorima financiranja'!D24</f>
        <v>2460791.44</v>
      </c>
      <c r="C12" s="107">
        <f>'Prema izvorima financiranja'!E24</f>
        <v>2343804.17</v>
      </c>
      <c r="D12" s="107">
        <f>'Prema izvorima financiranja'!F24</f>
        <v>2526633.14</v>
      </c>
      <c r="E12" s="107">
        <f>'Prema izvorima financiranja'!G24</f>
        <v>2589348.4700000002</v>
      </c>
      <c r="F12" s="110">
        <f t="shared" si="2"/>
        <v>105.2242147753895</v>
      </c>
      <c r="G12" s="110">
        <f t="shared" si="3"/>
        <v>102.48217000747486</v>
      </c>
    </row>
    <row r="13" spans="1:7" s="28" customFormat="1" x14ac:dyDescent="0.25">
      <c r="A13" s="32" t="s">
        <v>60</v>
      </c>
      <c r="B13" s="32"/>
      <c r="C13" s="33"/>
      <c r="D13" s="33"/>
      <c r="E13" s="33"/>
      <c r="F13" s="33"/>
      <c r="G13" s="33"/>
    </row>
    <row r="14" spans="1:7" s="28" customFormat="1" x14ac:dyDescent="0.25">
      <c r="A14" s="32" t="s">
        <v>61</v>
      </c>
      <c r="B14" s="32"/>
      <c r="C14" s="33"/>
      <c r="D14" s="33"/>
      <c r="E14" s="33"/>
      <c r="F14" s="33"/>
      <c r="G14" s="33"/>
    </row>
    <row r="15" spans="1:7" s="28" customFormat="1" x14ac:dyDescent="0.25">
      <c r="A15" s="32" t="s">
        <v>62</v>
      </c>
      <c r="B15" s="32"/>
      <c r="C15" s="33"/>
      <c r="D15" s="33"/>
      <c r="E15" s="33"/>
      <c r="F15" s="33"/>
      <c r="G15" s="33"/>
    </row>
    <row r="16" spans="1:7" s="28" customFormat="1" x14ac:dyDescent="0.25">
      <c r="A16" s="32" t="s">
        <v>63</v>
      </c>
      <c r="B16" s="32"/>
      <c r="C16" s="33"/>
      <c r="D16" s="33"/>
      <c r="E16" s="33"/>
      <c r="F16" s="33"/>
      <c r="G16" s="33"/>
    </row>
    <row r="17" spans="1:7" s="28" customFormat="1" ht="38.25" x14ac:dyDescent="0.25">
      <c r="A17" s="32" t="s">
        <v>64</v>
      </c>
      <c r="B17" s="32"/>
      <c r="C17" s="33"/>
      <c r="D17" s="33"/>
      <c r="E17" s="33"/>
      <c r="F17" s="33"/>
      <c r="G17" s="33"/>
    </row>
    <row r="18" spans="1:7" s="28" customFormat="1" x14ac:dyDescent="0.25">
      <c r="A18" s="32" t="s">
        <v>65</v>
      </c>
      <c r="B18" s="32"/>
      <c r="C18" s="33"/>
      <c r="D18" s="33"/>
      <c r="E18" s="33"/>
      <c r="F18" s="33"/>
      <c r="G18" s="33"/>
    </row>
    <row r="19" spans="1:7" s="28" customFormat="1" ht="25.5" x14ac:dyDescent="0.25">
      <c r="A19" s="32" t="s">
        <v>66</v>
      </c>
      <c r="B19" s="32"/>
      <c r="C19" s="33"/>
      <c r="D19" s="33"/>
      <c r="E19" s="33"/>
      <c r="F19" s="33"/>
      <c r="G19" s="33"/>
    </row>
    <row r="20" spans="1:7" x14ac:dyDescent="0.25">
      <c r="A20" s="34" t="s">
        <v>29</v>
      </c>
      <c r="B20" s="34"/>
      <c r="C20" s="33"/>
      <c r="D20" s="33"/>
      <c r="E20" s="33"/>
      <c r="F20" s="33"/>
      <c r="G20" s="33"/>
    </row>
  </sheetData>
  <mergeCells count="3">
    <mergeCell ref="A4:G4"/>
    <mergeCell ref="A3:G3"/>
    <mergeCell ref="A1:G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zoomScaleNormal="100" workbookViewId="0">
      <selection activeCell="A5" sqref="A5"/>
    </sheetView>
  </sheetViews>
  <sheetFormatPr defaultRowHeight="15" x14ac:dyDescent="0.25"/>
  <cols>
    <col min="1" max="1" width="7.42578125" customWidth="1"/>
    <col min="2" max="2" width="8.42578125" bestFit="1" customWidth="1"/>
    <col min="3" max="3" width="5.42578125" bestFit="1" customWidth="1"/>
    <col min="4" max="4" width="41" bestFit="1" customWidth="1"/>
    <col min="5" max="5" width="11.28515625" customWidth="1"/>
    <col min="6" max="6" width="11.7109375" bestFit="1" customWidth="1"/>
    <col min="7" max="7" width="11" customWidth="1"/>
    <col min="8" max="8" width="14.7109375" customWidth="1"/>
    <col min="9" max="9" width="11" customWidth="1"/>
    <col min="10" max="10" width="9.28515625" customWidth="1"/>
  </cols>
  <sheetData>
    <row r="1" spans="1:12" ht="15.75" customHeight="1" x14ac:dyDescent="0.25">
      <c r="A1" s="147" t="s">
        <v>20</v>
      </c>
      <c r="B1" s="147"/>
      <c r="C1" s="147"/>
      <c r="D1" s="147"/>
      <c r="E1" s="147"/>
      <c r="F1" s="147"/>
      <c r="G1" s="147"/>
      <c r="H1" s="147"/>
      <c r="I1" s="147"/>
      <c r="J1" s="147"/>
      <c r="K1" s="108"/>
      <c r="L1" s="108"/>
    </row>
    <row r="2" spans="1:12" ht="18" x14ac:dyDescent="0.25">
      <c r="A2" s="187"/>
      <c r="B2" s="187"/>
      <c r="C2" s="187"/>
      <c r="D2" s="187"/>
      <c r="E2" s="187"/>
      <c r="F2" s="187"/>
      <c r="G2" s="187"/>
      <c r="H2" s="187"/>
      <c r="I2" s="49"/>
      <c r="J2" s="50"/>
      <c r="K2" s="50"/>
      <c r="L2" s="50"/>
    </row>
    <row r="3" spans="1:12" ht="18" customHeight="1" x14ac:dyDescent="0.25">
      <c r="A3" s="147" t="s">
        <v>180</v>
      </c>
      <c r="B3" s="147"/>
      <c r="C3" s="147"/>
      <c r="D3" s="147"/>
      <c r="E3" s="147"/>
      <c r="F3" s="147"/>
      <c r="G3" s="147"/>
      <c r="H3" s="147"/>
      <c r="I3" s="147"/>
      <c r="J3" s="147"/>
      <c r="K3" s="108"/>
      <c r="L3" s="108"/>
    </row>
    <row r="4" spans="1:12" ht="15.75" customHeight="1" x14ac:dyDescent="0.25">
      <c r="A4" s="147" t="s">
        <v>209</v>
      </c>
      <c r="B4" s="147"/>
      <c r="C4" s="147"/>
      <c r="D4" s="147"/>
      <c r="E4" s="147"/>
      <c r="F4" s="147"/>
      <c r="G4" s="147"/>
      <c r="H4" s="147"/>
      <c r="I4" s="147"/>
      <c r="J4" s="147"/>
      <c r="K4" s="108"/>
      <c r="L4" s="108"/>
    </row>
    <row r="5" spans="1:12" ht="18" x14ac:dyDescent="0.25">
      <c r="A5" s="3"/>
      <c r="B5" s="3"/>
      <c r="C5" s="3"/>
      <c r="D5" s="3"/>
      <c r="E5" s="3"/>
      <c r="F5" s="3"/>
      <c r="G5" s="3"/>
      <c r="H5" s="4"/>
      <c r="I5" s="4"/>
      <c r="J5" s="138" t="s">
        <v>33</v>
      </c>
    </row>
    <row r="6" spans="1:12" ht="51" x14ac:dyDescent="0.25">
      <c r="A6" s="51" t="s">
        <v>5</v>
      </c>
      <c r="B6" s="54" t="s">
        <v>6</v>
      </c>
      <c r="C6" s="54" t="s">
        <v>7</v>
      </c>
      <c r="D6" s="54" t="s">
        <v>32</v>
      </c>
      <c r="E6" s="51" t="s">
        <v>205</v>
      </c>
      <c r="F6" s="51" t="s">
        <v>200</v>
      </c>
      <c r="G6" s="51" t="s">
        <v>201</v>
      </c>
      <c r="H6" s="51" t="s">
        <v>206</v>
      </c>
      <c r="I6" s="51" t="s">
        <v>202</v>
      </c>
      <c r="J6" s="51" t="s">
        <v>203</v>
      </c>
    </row>
    <row r="7" spans="1:12" ht="25.5" x14ac:dyDescent="0.25">
      <c r="A7" s="9">
        <v>8</v>
      </c>
      <c r="B7" s="9"/>
      <c r="C7" s="9"/>
      <c r="D7" s="9" t="s">
        <v>17</v>
      </c>
      <c r="E7" s="9"/>
      <c r="F7" s="7"/>
      <c r="G7" s="7"/>
      <c r="H7" s="7"/>
      <c r="I7" s="7"/>
      <c r="J7" s="7"/>
    </row>
    <row r="8" spans="1:12" ht="25.5" x14ac:dyDescent="0.25">
      <c r="A8" s="13"/>
      <c r="B8" s="13">
        <v>81</v>
      </c>
      <c r="C8" s="13"/>
      <c r="D8" s="13" t="s">
        <v>55</v>
      </c>
      <c r="E8" s="13"/>
      <c r="F8" s="7"/>
      <c r="G8" s="7"/>
      <c r="H8" s="7"/>
      <c r="I8" s="7"/>
      <c r="J8" s="7"/>
    </row>
    <row r="9" spans="1:12" x14ac:dyDescent="0.25">
      <c r="A9" s="9"/>
      <c r="B9" s="9"/>
      <c r="C9" s="15" t="s">
        <v>41</v>
      </c>
      <c r="D9" s="15" t="s">
        <v>42</v>
      </c>
      <c r="E9" s="15"/>
      <c r="F9" s="7"/>
      <c r="G9" s="7"/>
      <c r="H9" s="7"/>
      <c r="I9" s="7"/>
      <c r="J9" s="7"/>
    </row>
    <row r="10" spans="1:12" x14ac:dyDescent="0.25">
      <c r="A10" s="9"/>
      <c r="B10" s="13">
        <v>84</v>
      </c>
      <c r="C10" s="13"/>
      <c r="D10" s="13" t="s">
        <v>24</v>
      </c>
      <c r="E10" s="13"/>
      <c r="F10" s="7"/>
      <c r="G10" s="7"/>
      <c r="H10" s="7"/>
      <c r="I10" s="7"/>
      <c r="J10" s="7"/>
    </row>
    <row r="11" spans="1:12" ht="25.5" x14ac:dyDescent="0.25">
      <c r="A11" s="10"/>
      <c r="B11" s="10"/>
      <c r="C11" s="11" t="s">
        <v>53</v>
      </c>
      <c r="D11" s="14" t="s">
        <v>54</v>
      </c>
      <c r="E11" s="14"/>
      <c r="F11" s="7"/>
      <c r="G11" s="7"/>
      <c r="H11" s="7"/>
      <c r="I11" s="7"/>
      <c r="J11" s="7"/>
    </row>
    <row r="12" spans="1:12" ht="25.5" x14ac:dyDescent="0.25">
      <c r="A12" s="12">
        <v>5</v>
      </c>
      <c r="B12" s="12"/>
      <c r="C12" s="12"/>
      <c r="D12" s="19" t="s">
        <v>18</v>
      </c>
      <c r="E12" s="19"/>
      <c r="F12" s="7"/>
      <c r="G12" s="7"/>
      <c r="H12" s="7"/>
      <c r="I12" s="7"/>
      <c r="J12" s="7"/>
    </row>
    <row r="13" spans="1:12" ht="25.5" x14ac:dyDescent="0.25">
      <c r="A13" s="13"/>
      <c r="B13" s="13">
        <v>54</v>
      </c>
      <c r="C13" s="13"/>
      <c r="D13" s="20" t="s">
        <v>25</v>
      </c>
      <c r="E13" s="20"/>
      <c r="F13" s="7"/>
      <c r="G13" s="7"/>
      <c r="H13" s="7"/>
      <c r="I13" s="7"/>
      <c r="J13" s="8"/>
    </row>
    <row r="14" spans="1:12" x14ac:dyDescent="0.25">
      <c r="A14" s="10"/>
      <c r="B14" s="10"/>
      <c r="C14" s="11" t="s">
        <v>45</v>
      </c>
      <c r="D14" s="11" t="s">
        <v>9</v>
      </c>
      <c r="E14" s="11"/>
      <c r="F14" s="7"/>
      <c r="G14" s="7"/>
      <c r="H14" s="7"/>
      <c r="I14" s="7"/>
      <c r="J14" s="7"/>
    </row>
    <row r="15" spans="1:12" x14ac:dyDescent="0.25">
      <c r="A15" s="10"/>
      <c r="B15" s="10"/>
      <c r="C15" s="15" t="s">
        <v>41</v>
      </c>
      <c r="D15" s="15" t="s">
        <v>42</v>
      </c>
      <c r="E15" s="15"/>
      <c r="F15" s="7"/>
      <c r="G15" s="7"/>
      <c r="H15" s="7"/>
      <c r="I15" s="7"/>
      <c r="J15" s="7"/>
    </row>
    <row r="16" spans="1:12" x14ac:dyDescent="0.25">
      <c r="A16" s="13"/>
      <c r="B16" s="13"/>
      <c r="C16" s="11" t="s">
        <v>50</v>
      </c>
      <c r="D16" s="11" t="s">
        <v>51</v>
      </c>
      <c r="E16" s="11"/>
      <c r="F16" s="7"/>
      <c r="G16" s="7"/>
      <c r="H16" s="7"/>
      <c r="I16" s="7"/>
      <c r="J16" s="8"/>
    </row>
    <row r="17" spans="1:10" ht="25.5" x14ac:dyDescent="0.25">
      <c r="A17" s="10"/>
      <c r="B17" s="10"/>
      <c r="C17" s="11" t="s">
        <v>38</v>
      </c>
      <c r="D17" s="14" t="s">
        <v>39</v>
      </c>
      <c r="E17" s="14"/>
      <c r="F17" s="7"/>
      <c r="G17" s="7"/>
      <c r="H17" s="7"/>
      <c r="I17" s="7"/>
      <c r="J17" s="7"/>
    </row>
    <row r="18" spans="1:10" x14ac:dyDescent="0.25">
      <c r="A18" s="10"/>
      <c r="B18" s="21"/>
      <c r="C18" s="11" t="s">
        <v>48</v>
      </c>
      <c r="D18" s="11" t="s">
        <v>49</v>
      </c>
      <c r="E18" s="11"/>
      <c r="F18" s="7"/>
      <c r="G18" s="7"/>
      <c r="H18" s="7"/>
      <c r="I18" s="7"/>
      <c r="J18" s="7"/>
    </row>
    <row r="19" spans="1:10" x14ac:dyDescent="0.25">
      <c r="A19" s="10"/>
      <c r="B19" s="10"/>
      <c r="C19" s="11" t="s">
        <v>34</v>
      </c>
      <c r="D19" s="11" t="s">
        <v>35</v>
      </c>
      <c r="E19" s="11"/>
      <c r="F19" s="7"/>
      <c r="G19" s="7"/>
      <c r="H19" s="7"/>
      <c r="I19" s="7"/>
      <c r="J19" s="7"/>
    </row>
    <row r="20" spans="1:10" x14ac:dyDescent="0.25">
      <c r="A20" s="10"/>
      <c r="B20" s="21"/>
      <c r="C20" s="11" t="s">
        <v>36</v>
      </c>
      <c r="D20" s="11" t="s">
        <v>37</v>
      </c>
      <c r="E20" s="11"/>
      <c r="F20" s="7"/>
      <c r="G20" s="7"/>
      <c r="H20" s="7"/>
      <c r="I20" s="7"/>
      <c r="J20" s="7"/>
    </row>
    <row r="21" spans="1:10" s="28" customFormat="1" x14ac:dyDescent="0.25">
      <c r="A21" s="11"/>
      <c r="B21" s="15"/>
      <c r="C21" s="15" t="s">
        <v>43</v>
      </c>
      <c r="D21" s="15" t="s">
        <v>44</v>
      </c>
      <c r="E21" s="15"/>
      <c r="F21" s="27"/>
      <c r="G21" s="27"/>
      <c r="H21" s="27"/>
      <c r="I21" s="27"/>
      <c r="J21" s="27"/>
    </row>
    <row r="22" spans="1:10" x14ac:dyDescent="0.25">
      <c r="A22" s="13"/>
      <c r="B22" s="13"/>
      <c r="C22" s="11" t="s">
        <v>46</v>
      </c>
      <c r="D22" s="11" t="s">
        <v>47</v>
      </c>
      <c r="E22" s="11"/>
      <c r="F22" s="7"/>
      <c r="G22" s="7"/>
      <c r="H22" s="7"/>
      <c r="I22" s="7"/>
      <c r="J22" s="8"/>
    </row>
  </sheetData>
  <mergeCells count="4">
    <mergeCell ref="A1:J1"/>
    <mergeCell ref="A2:H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3"/>
  <sheetViews>
    <sheetView zoomScaleNormal="100" workbookViewId="0">
      <pane ySplit="4" topLeftCell="A5" activePane="bottomLeft" state="frozen"/>
      <selection pane="bottomLeft" activeCell="M41" sqref="M41"/>
    </sheetView>
  </sheetViews>
  <sheetFormatPr defaultRowHeight="15" x14ac:dyDescent="0.25"/>
  <cols>
    <col min="1" max="1" width="4.28515625" bestFit="1" customWidth="1"/>
    <col min="2" max="2" width="3.5703125" customWidth="1"/>
    <col min="3" max="3" width="12.42578125" customWidth="1"/>
    <col min="4" max="4" width="51.5703125" customWidth="1"/>
    <col min="5" max="5" width="15.140625" customWidth="1"/>
    <col min="6" max="6" width="11.7109375" bestFit="1" customWidth="1"/>
    <col min="7" max="7" width="13.85546875" customWidth="1"/>
    <col min="8" max="8" width="14.5703125" customWidth="1"/>
    <col min="9" max="9" width="12.140625" customWidth="1"/>
    <col min="10" max="10" width="13.7109375" customWidth="1"/>
    <col min="12" max="12" width="10.140625" bestFit="1" customWidth="1"/>
    <col min="14" max="14" width="11.7109375" bestFit="1" customWidth="1"/>
  </cols>
  <sheetData>
    <row r="1" spans="1:13" ht="27" customHeight="1" x14ac:dyDescent="0.25">
      <c r="A1" s="147" t="s">
        <v>19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3" ht="15.75" x14ac:dyDescent="0.25">
      <c r="A2" s="148" t="s">
        <v>210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3" ht="14.25" customHeight="1" x14ac:dyDescent="0.25">
      <c r="A3" s="3"/>
      <c r="B3" s="3"/>
      <c r="C3" s="3"/>
      <c r="D3" s="3"/>
      <c r="E3" s="125"/>
      <c r="F3" s="3"/>
      <c r="G3" s="125"/>
      <c r="H3" s="126"/>
      <c r="I3" s="4"/>
      <c r="J3" s="138" t="s">
        <v>33</v>
      </c>
      <c r="L3" s="127"/>
    </row>
    <row r="4" spans="1:13" ht="38.25" x14ac:dyDescent="0.25">
      <c r="A4" s="152" t="s">
        <v>21</v>
      </c>
      <c r="B4" s="153"/>
      <c r="C4" s="154"/>
      <c r="D4" s="54" t="s">
        <v>22</v>
      </c>
      <c r="E4" s="51" t="s">
        <v>205</v>
      </c>
      <c r="F4" s="51" t="s">
        <v>200</v>
      </c>
      <c r="G4" s="51" t="s">
        <v>201</v>
      </c>
      <c r="H4" s="51" t="s">
        <v>206</v>
      </c>
      <c r="I4" s="51" t="s">
        <v>202</v>
      </c>
      <c r="J4" s="51" t="s">
        <v>203</v>
      </c>
    </row>
    <row r="5" spans="1:13" s="47" customFormat="1" ht="9.75" customHeight="1" x14ac:dyDescent="0.2">
      <c r="A5" s="149">
        <v>1</v>
      </c>
      <c r="B5" s="150"/>
      <c r="C5" s="150"/>
      <c r="D5" s="151"/>
      <c r="E5" s="52">
        <v>2</v>
      </c>
      <c r="F5" s="52">
        <v>3</v>
      </c>
      <c r="G5" s="52">
        <v>4</v>
      </c>
      <c r="H5" s="52">
        <v>5</v>
      </c>
      <c r="I5" s="52" t="s">
        <v>86</v>
      </c>
      <c r="J5" s="52" t="s">
        <v>85</v>
      </c>
    </row>
    <row r="6" spans="1:13" ht="17.25" customHeight="1" x14ac:dyDescent="0.25">
      <c r="A6" s="155" t="s">
        <v>73</v>
      </c>
      <c r="B6" s="156"/>
      <c r="C6" s="157"/>
      <c r="D6" s="23" t="s">
        <v>74</v>
      </c>
      <c r="E6" s="43">
        <f>+E7+E121+E148+E163+E167</f>
        <v>2460791.4400000004</v>
      </c>
      <c r="F6" s="43">
        <f>+F7+F121+F148+F163+F167</f>
        <v>2343804.17</v>
      </c>
      <c r="G6" s="43">
        <f>+G7+G121+G148+G163+G167</f>
        <v>2526633.14</v>
      </c>
      <c r="H6" s="43">
        <f>+H7+H121+H148+H163+H167</f>
        <v>2589348.4700000002</v>
      </c>
      <c r="I6" s="43">
        <f>H6/E6*100</f>
        <v>105.22421477538948</v>
      </c>
      <c r="J6" s="43">
        <f t="shared" ref="J6:J9" si="0">H6/G6*100</f>
        <v>102.48217000747486</v>
      </c>
    </row>
    <row r="7" spans="1:13" x14ac:dyDescent="0.25">
      <c r="A7" s="155" t="s">
        <v>75</v>
      </c>
      <c r="B7" s="156"/>
      <c r="C7" s="157"/>
      <c r="D7" s="23" t="s">
        <v>77</v>
      </c>
      <c r="E7" s="43">
        <f>+E8+E38+E61+E66+E105+E110+E116</f>
        <v>2271753.7200000002</v>
      </c>
      <c r="F7" s="43">
        <f>+F8+F38+F61+F66+F105+F110+F116</f>
        <v>2274682</v>
      </c>
      <c r="G7" s="43">
        <f>+G8+G38+G61+G66+G105+G110+G116</f>
        <v>2440557.6700000004</v>
      </c>
      <c r="H7" s="43">
        <f>+H8+H38+H61+H66+H105+H110+H116</f>
        <v>2504021.9200000004</v>
      </c>
      <c r="I7" s="43">
        <f>H7/E7*100</f>
        <v>110.22418046266036</v>
      </c>
      <c r="J7" s="43">
        <f t="shared" si="0"/>
        <v>102.60039952262221</v>
      </c>
    </row>
    <row r="8" spans="1:13" x14ac:dyDescent="0.25">
      <c r="A8" s="141" t="s">
        <v>181</v>
      </c>
      <c r="B8" s="142"/>
      <c r="C8" s="143"/>
      <c r="D8" s="25" t="s">
        <v>9</v>
      </c>
      <c r="E8" s="42">
        <f>+E9+E14+E36</f>
        <v>607952</v>
      </c>
      <c r="F8" s="42">
        <f t="shared" ref="F8:G8" si="1">+F9+F14+F36</f>
        <v>607952</v>
      </c>
      <c r="G8" s="42">
        <f t="shared" si="1"/>
        <v>607952</v>
      </c>
      <c r="H8" s="42">
        <f>+H9+H14+H36</f>
        <v>607952</v>
      </c>
      <c r="I8" s="42">
        <f>H8/E8*100</f>
        <v>100</v>
      </c>
      <c r="J8" s="42">
        <f t="shared" si="0"/>
        <v>100</v>
      </c>
      <c r="L8" s="38"/>
    </row>
    <row r="9" spans="1:13" s="68" customFormat="1" x14ac:dyDescent="0.25">
      <c r="A9" s="117">
        <v>31</v>
      </c>
      <c r="B9" s="118"/>
      <c r="C9" s="119"/>
      <c r="D9" s="23" t="s">
        <v>11</v>
      </c>
      <c r="E9" s="43">
        <f>SUM(E10:E13)</f>
        <v>500000</v>
      </c>
      <c r="F9" s="43">
        <v>500000</v>
      </c>
      <c r="G9" s="43">
        <v>500000</v>
      </c>
      <c r="H9" s="43">
        <f>SUM(H10:H13)</f>
        <v>500000</v>
      </c>
      <c r="I9" s="43">
        <f t="shared" ref="I9:I170" si="2">H9/E9*100</f>
        <v>100</v>
      </c>
      <c r="J9" s="43">
        <f t="shared" si="0"/>
        <v>100</v>
      </c>
    </row>
    <row r="10" spans="1:13" x14ac:dyDescent="0.25">
      <c r="A10" s="35"/>
      <c r="B10" s="36"/>
      <c r="C10" s="10">
        <v>3111</v>
      </c>
      <c r="D10" s="10" t="s">
        <v>93</v>
      </c>
      <c r="E10" s="44">
        <v>373800</v>
      </c>
      <c r="F10" s="44"/>
      <c r="G10" s="44"/>
      <c r="H10" s="44">
        <v>370000</v>
      </c>
      <c r="I10" s="41">
        <f>H10/E10*100</f>
        <v>98.983413590155166</v>
      </c>
      <c r="J10" s="41"/>
    </row>
    <row r="11" spans="1:13" x14ac:dyDescent="0.25">
      <c r="A11" s="35"/>
      <c r="B11" s="36"/>
      <c r="C11" s="10">
        <v>3114</v>
      </c>
      <c r="D11" s="10" t="s">
        <v>112</v>
      </c>
      <c r="E11" s="44">
        <v>40000</v>
      </c>
      <c r="F11" s="44"/>
      <c r="G11" s="44"/>
      <c r="H11" s="44">
        <v>35000</v>
      </c>
      <c r="I11" s="41">
        <f t="shared" si="2"/>
        <v>87.5</v>
      </c>
      <c r="J11" s="41"/>
    </row>
    <row r="12" spans="1:13" x14ac:dyDescent="0.25">
      <c r="A12" s="35"/>
      <c r="B12" s="36"/>
      <c r="C12" s="10">
        <v>3121</v>
      </c>
      <c r="D12" s="10" t="s">
        <v>113</v>
      </c>
      <c r="E12" s="44">
        <v>18200</v>
      </c>
      <c r="F12" s="44"/>
      <c r="G12" s="44"/>
      <c r="H12" s="44">
        <v>20000</v>
      </c>
      <c r="I12" s="41">
        <f t="shared" si="2"/>
        <v>109.8901098901099</v>
      </c>
      <c r="J12" s="41"/>
    </row>
    <row r="13" spans="1:13" x14ac:dyDescent="0.25">
      <c r="A13" s="35"/>
      <c r="B13" s="36"/>
      <c r="C13" s="10">
        <v>3132</v>
      </c>
      <c r="D13" s="10" t="s">
        <v>114</v>
      </c>
      <c r="E13" s="44">
        <v>68000</v>
      </c>
      <c r="F13" s="44"/>
      <c r="G13" s="44"/>
      <c r="H13" s="44">
        <v>75000</v>
      </c>
      <c r="I13" s="41">
        <f t="shared" si="2"/>
        <v>110.29411764705883</v>
      </c>
      <c r="J13" s="41"/>
    </row>
    <row r="14" spans="1:13" s="68" customFormat="1" x14ac:dyDescent="0.25">
      <c r="A14" s="136">
        <v>32</v>
      </c>
      <c r="B14" s="115"/>
      <c r="C14" s="116"/>
      <c r="D14" s="23" t="s">
        <v>23</v>
      </c>
      <c r="E14" s="43">
        <f>SUM(E15:E35)</f>
        <v>107252</v>
      </c>
      <c r="F14" s="43">
        <v>107452</v>
      </c>
      <c r="G14" s="43">
        <f>F14</f>
        <v>107452</v>
      </c>
      <c r="H14" s="43">
        <f>SUM(H15:H35)</f>
        <v>107452.00000000001</v>
      </c>
      <c r="I14" s="43">
        <f t="shared" si="2"/>
        <v>100.18647670905905</v>
      </c>
      <c r="J14" s="43">
        <f t="shared" ref="J14" si="3">H14/G14*100</f>
        <v>100.00000000000003</v>
      </c>
      <c r="M14" s="140"/>
    </row>
    <row r="15" spans="1:13" x14ac:dyDescent="0.25">
      <c r="A15" s="35"/>
      <c r="B15" s="36"/>
      <c r="C15" s="10">
        <v>3211</v>
      </c>
      <c r="D15" s="10" t="s">
        <v>91</v>
      </c>
      <c r="E15" s="41">
        <v>0</v>
      </c>
      <c r="F15" s="41"/>
      <c r="G15" s="41"/>
      <c r="H15" s="113"/>
      <c r="I15" s="41" t="e">
        <f>H15/E15*100</f>
        <v>#DIV/0!</v>
      </c>
      <c r="J15" s="41"/>
    </row>
    <row r="16" spans="1:13" x14ac:dyDescent="0.25">
      <c r="A16" s="35"/>
      <c r="B16" s="36"/>
      <c r="C16" s="10">
        <v>3212</v>
      </c>
      <c r="D16" s="10" t="s">
        <v>115</v>
      </c>
      <c r="E16" s="41">
        <v>12000</v>
      </c>
      <c r="F16" s="41"/>
      <c r="G16" s="41"/>
      <c r="H16" s="41"/>
      <c r="I16" s="41">
        <f t="shared" ref="I16:I35" si="4">H16/E16*100</f>
        <v>0</v>
      </c>
      <c r="J16" s="41"/>
    </row>
    <row r="17" spans="1:10" x14ac:dyDescent="0.25">
      <c r="A17" s="35"/>
      <c r="B17" s="36"/>
      <c r="C17" s="10">
        <v>3213</v>
      </c>
      <c r="D17" s="10" t="s">
        <v>116</v>
      </c>
      <c r="E17" s="41">
        <v>415.9</v>
      </c>
      <c r="F17" s="41"/>
      <c r="G17" s="41"/>
      <c r="H17" s="41"/>
      <c r="I17" s="41">
        <f t="shared" si="4"/>
        <v>0</v>
      </c>
      <c r="J17" s="41"/>
    </row>
    <row r="18" spans="1:10" x14ac:dyDescent="0.25">
      <c r="A18" s="35"/>
      <c r="B18" s="36"/>
      <c r="C18" s="10">
        <v>3214</v>
      </c>
      <c r="D18" s="10" t="s">
        <v>117</v>
      </c>
      <c r="E18" s="41">
        <v>0</v>
      </c>
      <c r="F18" s="41"/>
      <c r="G18" s="41"/>
      <c r="H18" s="41"/>
      <c r="I18" s="41" t="e">
        <f t="shared" si="4"/>
        <v>#DIV/0!</v>
      </c>
      <c r="J18" s="41"/>
    </row>
    <row r="19" spans="1:10" x14ac:dyDescent="0.25">
      <c r="A19" s="35"/>
      <c r="B19" s="36"/>
      <c r="C19" s="10">
        <v>3221</v>
      </c>
      <c r="D19" s="10" t="s">
        <v>118</v>
      </c>
      <c r="E19" s="41">
        <v>4391.05</v>
      </c>
      <c r="F19" s="41"/>
      <c r="G19" s="41"/>
      <c r="H19" s="41">
        <v>4467.9799999999996</v>
      </c>
      <c r="I19" s="41">
        <f t="shared" si="4"/>
        <v>101.75197276277883</v>
      </c>
      <c r="J19" s="41"/>
    </row>
    <row r="20" spans="1:10" x14ac:dyDescent="0.25">
      <c r="A20" s="35"/>
      <c r="B20" s="36"/>
      <c r="C20" s="10">
        <v>3222</v>
      </c>
      <c r="D20" s="10" t="s">
        <v>119</v>
      </c>
      <c r="E20" s="41">
        <v>49422.28</v>
      </c>
      <c r="F20" s="41"/>
      <c r="G20" s="41"/>
      <c r="H20" s="41">
        <v>52244.3</v>
      </c>
      <c r="I20" s="41">
        <f t="shared" si="4"/>
        <v>105.71001580663622</v>
      </c>
      <c r="J20" s="41"/>
    </row>
    <row r="21" spans="1:10" x14ac:dyDescent="0.25">
      <c r="A21" s="35"/>
      <c r="B21" s="36"/>
      <c r="C21" s="10">
        <v>3223</v>
      </c>
      <c r="D21" s="10" t="s">
        <v>120</v>
      </c>
      <c r="E21" s="41">
        <v>17022.91</v>
      </c>
      <c r="F21" s="41"/>
      <c r="G21" s="41"/>
      <c r="H21" s="41">
        <v>25810.22</v>
      </c>
      <c r="I21" s="41">
        <f t="shared" si="4"/>
        <v>151.6204926184771</v>
      </c>
      <c r="J21" s="41"/>
    </row>
    <row r="22" spans="1:10" x14ac:dyDescent="0.25">
      <c r="A22" s="35"/>
      <c r="B22" s="36"/>
      <c r="C22" s="10">
        <v>3224</v>
      </c>
      <c r="D22" s="10" t="s">
        <v>121</v>
      </c>
      <c r="E22" s="41">
        <v>48.69</v>
      </c>
      <c r="F22" s="41"/>
      <c r="G22" s="41"/>
      <c r="H22" s="41">
        <v>792.27</v>
      </c>
      <c r="I22" s="41">
        <f t="shared" si="4"/>
        <v>1627.1719038817007</v>
      </c>
      <c r="J22" s="41"/>
    </row>
    <row r="23" spans="1:10" x14ac:dyDescent="0.25">
      <c r="A23" s="35"/>
      <c r="B23" s="36"/>
      <c r="C23" s="10">
        <v>3225</v>
      </c>
      <c r="D23" s="10" t="s">
        <v>122</v>
      </c>
      <c r="E23" s="41">
        <v>843.15</v>
      </c>
      <c r="F23" s="41"/>
      <c r="G23" s="41"/>
      <c r="H23" s="41">
        <v>514.44000000000005</v>
      </c>
      <c r="I23" s="41">
        <f t="shared" si="4"/>
        <v>61.014054438711987</v>
      </c>
      <c r="J23" s="41"/>
    </row>
    <row r="24" spans="1:10" x14ac:dyDescent="0.25">
      <c r="A24" s="35"/>
      <c r="B24" s="36"/>
      <c r="C24" s="10">
        <v>3227</v>
      </c>
      <c r="D24" s="10" t="s">
        <v>124</v>
      </c>
      <c r="E24" s="41">
        <v>2068.83</v>
      </c>
      <c r="F24" s="41"/>
      <c r="G24" s="41"/>
      <c r="H24" s="41">
        <v>352.9</v>
      </c>
      <c r="I24" s="41">
        <f t="shared" si="4"/>
        <v>17.057950629099537</v>
      </c>
      <c r="J24" s="41"/>
    </row>
    <row r="25" spans="1:10" x14ac:dyDescent="0.25">
      <c r="A25" s="35"/>
      <c r="B25" s="36"/>
      <c r="C25" s="10">
        <v>3231</v>
      </c>
      <c r="D25" s="10" t="s">
        <v>125</v>
      </c>
      <c r="E25" s="41">
        <v>175.86</v>
      </c>
      <c r="F25" s="41"/>
      <c r="G25" s="41"/>
      <c r="H25" s="41">
        <v>358.08</v>
      </c>
      <c r="I25" s="41">
        <f t="shared" si="4"/>
        <v>203.61651313544863</v>
      </c>
      <c r="J25" s="41"/>
    </row>
    <row r="26" spans="1:10" x14ac:dyDescent="0.25">
      <c r="A26" s="35"/>
      <c r="B26" s="36"/>
      <c r="C26" s="10">
        <v>3232</v>
      </c>
      <c r="D26" s="10" t="s">
        <v>126</v>
      </c>
      <c r="E26" s="41">
        <v>6475.74</v>
      </c>
      <c r="F26" s="41"/>
      <c r="G26" s="41"/>
      <c r="H26" s="41">
        <f>9159.06-1944.7</f>
        <v>7214.36</v>
      </c>
      <c r="I26" s="41">
        <f t="shared" si="4"/>
        <v>111.40595514952732</v>
      </c>
      <c r="J26" s="41"/>
    </row>
    <row r="27" spans="1:10" x14ac:dyDescent="0.25">
      <c r="A27" s="35"/>
      <c r="B27" s="36"/>
      <c r="C27" s="10">
        <v>3233</v>
      </c>
      <c r="D27" s="10" t="s">
        <v>127</v>
      </c>
      <c r="E27" s="41">
        <v>0</v>
      </c>
      <c r="F27" s="41"/>
      <c r="G27" s="41"/>
      <c r="H27" s="114">
        <v>0</v>
      </c>
      <c r="I27" s="41" t="e">
        <f t="shared" si="4"/>
        <v>#DIV/0!</v>
      </c>
      <c r="J27" s="41"/>
    </row>
    <row r="28" spans="1:10" x14ac:dyDescent="0.25">
      <c r="A28" s="35"/>
      <c r="B28" s="36"/>
      <c r="C28" s="10">
        <v>3234</v>
      </c>
      <c r="D28" s="10" t="s">
        <v>128</v>
      </c>
      <c r="E28" s="41">
        <v>5381.42</v>
      </c>
      <c r="F28" s="41"/>
      <c r="G28" s="41"/>
      <c r="H28" s="41">
        <v>7769.63</v>
      </c>
      <c r="I28" s="41">
        <f t="shared" si="4"/>
        <v>144.37880708065899</v>
      </c>
      <c r="J28" s="41"/>
    </row>
    <row r="29" spans="1:10" x14ac:dyDescent="0.25">
      <c r="A29" s="35"/>
      <c r="B29" s="36"/>
      <c r="C29" s="10">
        <v>3236</v>
      </c>
      <c r="D29" s="10" t="s">
        <v>130</v>
      </c>
      <c r="E29" s="41">
        <v>5796.22</v>
      </c>
      <c r="F29" s="41"/>
      <c r="G29" s="41"/>
      <c r="H29" s="41">
        <v>3927.99</v>
      </c>
      <c r="I29" s="41">
        <f t="shared" si="4"/>
        <v>67.768131644416528</v>
      </c>
      <c r="J29" s="41"/>
    </row>
    <row r="30" spans="1:10" x14ac:dyDescent="0.25">
      <c r="A30" s="35"/>
      <c r="B30" s="36"/>
      <c r="C30" s="10">
        <v>3237</v>
      </c>
      <c r="D30" s="10" t="s">
        <v>131</v>
      </c>
      <c r="E30" s="41">
        <v>0</v>
      </c>
      <c r="F30" s="41"/>
      <c r="G30" s="41"/>
      <c r="H30" s="41">
        <v>0</v>
      </c>
      <c r="I30" s="41" t="e">
        <f t="shared" si="4"/>
        <v>#DIV/0!</v>
      </c>
      <c r="J30" s="41"/>
    </row>
    <row r="31" spans="1:10" x14ac:dyDescent="0.25">
      <c r="A31" s="35"/>
      <c r="B31" s="36"/>
      <c r="C31" s="10">
        <v>3238</v>
      </c>
      <c r="D31" s="10" t="s">
        <v>132</v>
      </c>
      <c r="E31" s="41">
        <v>3209.95</v>
      </c>
      <c r="F31" s="41"/>
      <c r="G31" s="41"/>
      <c r="H31" s="41">
        <v>3637.62</v>
      </c>
      <c r="I31" s="41">
        <f t="shared" si="4"/>
        <v>113.32326048692347</v>
      </c>
      <c r="J31" s="41"/>
    </row>
    <row r="32" spans="1:10" x14ac:dyDescent="0.25">
      <c r="A32" s="35"/>
      <c r="B32" s="36"/>
      <c r="C32" s="10">
        <v>3239</v>
      </c>
      <c r="D32" s="10" t="s">
        <v>133</v>
      </c>
      <c r="E32" s="41">
        <v>0</v>
      </c>
      <c r="F32" s="41"/>
      <c r="G32" s="41"/>
      <c r="H32" s="41"/>
      <c r="I32" s="41" t="e">
        <f t="shared" si="4"/>
        <v>#DIV/0!</v>
      </c>
      <c r="J32" s="41"/>
    </row>
    <row r="33" spans="1:12" x14ac:dyDescent="0.25">
      <c r="A33" s="35"/>
      <c r="B33" s="36"/>
      <c r="C33" s="10">
        <v>3292</v>
      </c>
      <c r="D33" s="112" t="s">
        <v>135</v>
      </c>
      <c r="E33" s="41">
        <v>0</v>
      </c>
      <c r="F33" s="41"/>
      <c r="G33" s="41"/>
      <c r="H33" s="41">
        <v>362.21</v>
      </c>
      <c r="I33" s="41" t="e">
        <f t="shared" si="4"/>
        <v>#DIV/0!</v>
      </c>
      <c r="J33" s="41"/>
    </row>
    <row r="34" spans="1:12" x14ac:dyDescent="0.25">
      <c r="A34" s="35"/>
      <c r="B34" s="36"/>
      <c r="C34" s="10">
        <v>3295</v>
      </c>
      <c r="D34" s="112" t="s">
        <v>138</v>
      </c>
      <c r="E34" s="41">
        <v>0</v>
      </c>
      <c r="F34" s="41"/>
      <c r="G34" s="41"/>
      <c r="H34" s="41"/>
      <c r="I34" s="41" t="e">
        <f t="shared" si="4"/>
        <v>#DIV/0!</v>
      </c>
      <c r="J34" s="41"/>
    </row>
    <row r="35" spans="1:12" x14ac:dyDescent="0.25">
      <c r="A35" s="35"/>
      <c r="B35" s="36"/>
      <c r="C35" s="139">
        <v>3299</v>
      </c>
      <c r="D35" s="22" t="s">
        <v>141</v>
      </c>
      <c r="E35" s="41">
        <v>0</v>
      </c>
      <c r="F35" s="41"/>
      <c r="G35" s="41"/>
      <c r="H35" s="41">
        <v>0</v>
      </c>
      <c r="I35" s="41" t="e">
        <f t="shared" si="4"/>
        <v>#DIV/0!</v>
      </c>
      <c r="J35" s="41"/>
      <c r="L35" s="38"/>
    </row>
    <row r="36" spans="1:12" s="68" customFormat="1" x14ac:dyDescent="0.25">
      <c r="A36" s="137">
        <v>34</v>
      </c>
      <c r="B36" s="115"/>
      <c r="C36" s="116"/>
      <c r="D36" s="23" t="s">
        <v>52</v>
      </c>
      <c r="E36" s="43">
        <f>SUM(E37)</f>
        <v>700</v>
      </c>
      <c r="F36" s="43">
        <v>500</v>
      </c>
      <c r="G36" s="43">
        <v>500</v>
      </c>
      <c r="H36" s="43">
        <f t="shared" ref="H36" si="5">SUM(H37)</f>
        <v>500</v>
      </c>
      <c r="I36" s="43">
        <f t="shared" ref="I36" si="6">H36/E36*100</f>
        <v>71.428571428571431</v>
      </c>
      <c r="J36" s="43">
        <f>H36/G36*100</f>
        <v>100</v>
      </c>
      <c r="L36" s="140"/>
    </row>
    <row r="37" spans="1:12" x14ac:dyDescent="0.25">
      <c r="A37" s="35"/>
      <c r="B37" s="36"/>
      <c r="C37" s="37">
        <v>3431</v>
      </c>
      <c r="D37" s="22" t="s">
        <v>142</v>
      </c>
      <c r="E37" s="41">
        <v>700</v>
      </c>
      <c r="F37" s="41"/>
      <c r="G37" s="41"/>
      <c r="H37" s="41">
        <v>500</v>
      </c>
      <c r="I37" s="41">
        <f>H37/E37*100</f>
        <v>71.428571428571431</v>
      </c>
      <c r="J37" s="41"/>
    </row>
    <row r="38" spans="1:12" x14ac:dyDescent="0.25">
      <c r="A38" s="141" t="s">
        <v>182</v>
      </c>
      <c r="B38" s="142"/>
      <c r="C38" s="143"/>
      <c r="D38" s="25" t="s">
        <v>183</v>
      </c>
      <c r="E38" s="42">
        <f>+E39+E44</f>
        <v>680549.17</v>
      </c>
      <c r="F38" s="42">
        <f t="shared" ref="F38:G38" si="7">+F39+F44</f>
        <v>565680</v>
      </c>
      <c r="G38" s="42">
        <f t="shared" si="7"/>
        <v>649680</v>
      </c>
      <c r="H38" s="42">
        <f>+H39+H44</f>
        <v>649680</v>
      </c>
      <c r="I38" s="41">
        <f t="shared" si="2"/>
        <v>95.464079399288664</v>
      </c>
      <c r="J38" s="42">
        <f t="shared" ref="J38" si="8">H38/G38*100</f>
        <v>100</v>
      </c>
      <c r="L38" s="38"/>
    </row>
    <row r="39" spans="1:12" s="68" customFormat="1" x14ac:dyDescent="0.25">
      <c r="A39" s="137">
        <v>31</v>
      </c>
      <c r="B39" s="118"/>
      <c r="C39" s="119"/>
      <c r="D39" s="23" t="s">
        <v>11</v>
      </c>
      <c r="E39" s="43">
        <f>SUM(E40:E43)</f>
        <v>628000</v>
      </c>
      <c r="F39" s="43">
        <v>515000</v>
      </c>
      <c r="G39" s="43">
        <v>599000</v>
      </c>
      <c r="H39" s="43">
        <f t="shared" ref="H39" si="9">SUM(H40:H43)</f>
        <v>599000</v>
      </c>
      <c r="I39" s="43">
        <f>H39/E39*100</f>
        <v>95.382165605095537</v>
      </c>
      <c r="J39" s="43">
        <f>H39/G39*100</f>
        <v>100</v>
      </c>
    </row>
    <row r="40" spans="1:12" x14ac:dyDescent="0.25">
      <c r="A40" s="35"/>
      <c r="B40" s="36"/>
      <c r="C40" s="10">
        <v>3111</v>
      </c>
      <c r="D40" s="10" t="s">
        <v>93</v>
      </c>
      <c r="E40" s="44">
        <v>494000</v>
      </c>
      <c r="F40" s="44"/>
      <c r="G40" s="44"/>
      <c r="H40" s="44">
        <v>430000</v>
      </c>
      <c r="I40" s="41">
        <f>H40/E40*100</f>
        <v>87.044534412955471</v>
      </c>
      <c r="J40" s="41"/>
    </row>
    <row r="41" spans="1:12" x14ac:dyDescent="0.25">
      <c r="A41" s="35"/>
      <c r="B41" s="36"/>
      <c r="C41" s="10">
        <v>3114</v>
      </c>
      <c r="D41" s="10" t="s">
        <v>112</v>
      </c>
      <c r="E41" s="44">
        <v>28000</v>
      </c>
      <c r="F41" s="44"/>
      <c r="G41" s="44"/>
      <c r="H41" s="44">
        <v>55000</v>
      </c>
      <c r="I41" s="41">
        <f t="shared" ref="I41:I43" si="10">H41/E41*100</f>
        <v>196.42857142857142</v>
      </c>
      <c r="J41" s="41"/>
    </row>
    <row r="42" spans="1:12" x14ac:dyDescent="0.25">
      <c r="A42" s="35"/>
      <c r="B42" s="36"/>
      <c r="C42" s="10">
        <v>3121</v>
      </c>
      <c r="D42" s="10" t="s">
        <v>113</v>
      </c>
      <c r="E42" s="44">
        <v>20000</v>
      </c>
      <c r="F42" s="44"/>
      <c r="G42" s="44"/>
      <c r="H42" s="44">
        <v>14000</v>
      </c>
      <c r="I42" s="41">
        <f t="shared" si="10"/>
        <v>70</v>
      </c>
      <c r="J42" s="41"/>
    </row>
    <row r="43" spans="1:12" x14ac:dyDescent="0.25">
      <c r="A43" s="35"/>
      <c r="B43" s="36"/>
      <c r="C43" s="10">
        <v>3132</v>
      </c>
      <c r="D43" s="10" t="s">
        <v>114</v>
      </c>
      <c r="E43" s="44">
        <v>86000</v>
      </c>
      <c r="F43" s="44"/>
      <c r="H43" s="44">
        <v>100000</v>
      </c>
      <c r="I43" s="41">
        <f t="shared" si="10"/>
        <v>116.27906976744187</v>
      </c>
      <c r="J43" s="41"/>
    </row>
    <row r="44" spans="1:12" s="68" customFormat="1" x14ac:dyDescent="0.25">
      <c r="A44" s="120">
        <v>32</v>
      </c>
      <c r="B44" s="115"/>
      <c r="C44" s="116"/>
      <c r="D44" s="23" t="s">
        <v>23</v>
      </c>
      <c r="E44" s="43">
        <f>SUM(E45:E60)</f>
        <v>52549.170000000006</v>
      </c>
      <c r="F44" s="43">
        <v>50680</v>
      </c>
      <c r="G44" s="43">
        <f>F44</f>
        <v>50680</v>
      </c>
      <c r="H44" s="43">
        <f>SUM(H45:H60)</f>
        <v>50680</v>
      </c>
      <c r="I44" s="43">
        <f t="shared" ref="I44" si="11">H44/E44*100</f>
        <v>96.443007567959668</v>
      </c>
      <c r="J44" s="43">
        <f>H44/G44*100</f>
        <v>100</v>
      </c>
    </row>
    <row r="45" spans="1:12" x14ac:dyDescent="0.25">
      <c r="A45" s="35"/>
      <c r="B45" s="36"/>
      <c r="C45" s="10">
        <v>3212</v>
      </c>
      <c r="D45" s="10" t="s">
        <v>115</v>
      </c>
      <c r="E45" s="41">
        <v>0</v>
      </c>
      <c r="F45" s="41"/>
      <c r="G45" s="41"/>
      <c r="H45" s="41"/>
      <c r="I45" s="41" t="e">
        <f t="shared" ref="I45:I60" si="12">H45/E45*100</f>
        <v>#DIV/0!</v>
      </c>
      <c r="J45" s="41"/>
    </row>
    <row r="46" spans="1:12" x14ac:dyDescent="0.25">
      <c r="A46" s="35"/>
      <c r="B46" s="36"/>
      <c r="C46" s="10">
        <v>3214</v>
      </c>
      <c r="D46" s="10" t="s">
        <v>117</v>
      </c>
      <c r="E46" s="41">
        <v>0</v>
      </c>
      <c r="F46" s="41"/>
      <c r="G46" s="41"/>
      <c r="H46" s="41"/>
      <c r="I46" s="41" t="e">
        <f t="shared" si="12"/>
        <v>#DIV/0!</v>
      </c>
      <c r="J46" s="41"/>
    </row>
    <row r="47" spans="1:12" x14ac:dyDescent="0.25">
      <c r="A47" s="35"/>
      <c r="B47" s="36"/>
      <c r="C47" s="10">
        <v>3221</v>
      </c>
      <c r="D47" s="10" t="s">
        <v>118</v>
      </c>
      <c r="E47" s="41">
        <v>917.13</v>
      </c>
      <c r="F47" s="41"/>
      <c r="G47" s="41"/>
      <c r="H47" s="41">
        <v>1136.51</v>
      </c>
      <c r="I47" s="41">
        <f t="shared" si="12"/>
        <v>123.92027302563432</v>
      </c>
      <c r="J47" s="41"/>
    </row>
    <row r="48" spans="1:12" x14ac:dyDescent="0.25">
      <c r="A48" s="35"/>
      <c r="B48" s="36"/>
      <c r="C48" s="10">
        <v>3222</v>
      </c>
      <c r="D48" s="10" t="s">
        <v>119</v>
      </c>
      <c r="E48" s="41">
        <v>25466.400000000001</v>
      </c>
      <c r="F48" s="41"/>
      <c r="G48" s="41"/>
      <c r="H48" s="41">
        <v>17148.150000000001</v>
      </c>
      <c r="I48" s="41">
        <f t="shared" si="12"/>
        <v>67.336372632174161</v>
      </c>
      <c r="J48" s="41"/>
    </row>
    <row r="49" spans="1:10" x14ac:dyDescent="0.25">
      <c r="A49" s="35"/>
      <c r="B49" s="36"/>
      <c r="C49" s="10">
        <v>3223</v>
      </c>
      <c r="D49" s="10" t="s">
        <v>120</v>
      </c>
      <c r="E49" s="41">
        <v>14241.35</v>
      </c>
      <c r="F49" s="41"/>
      <c r="G49" s="41"/>
      <c r="H49" s="41">
        <v>19313.43</v>
      </c>
      <c r="I49" s="41">
        <f t="shared" si="12"/>
        <v>135.61516288834977</v>
      </c>
      <c r="J49" s="41"/>
    </row>
    <row r="50" spans="1:10" x14ac:dyDescent="0.25">
      <c r="A50" s="35"/>
      <c r="B50" s="36"/>
      <c r="C50" s="10">
        <v>3224</v>
      </c>
      <c r="D50" s="10" t="s">
        <v>121</v>
      </c>
      <c r="E50" s="41">
        <v>0</v>
      </c>
      <c r="F50" s="41"/>
      <c r="G50" s="41"/>
      <c r="H50" s="41"/>
      <c r="I50" s="41" t="e">
        <f t="shared" si="12"/>
        <v>#DIV/0!</v>
      </c>
      <c r="J50" s="41"/>
    </row>
    <row r="51" spans="1:10" x14ac:dyDescent="0.25">
      <c r="A51" s="35"/>
      <c r="B51" s="36"/>
      <c r="C51" s="10">
        <v>3225</v>
      </c>
      <c r="D51" s="10" t="s">
        <v>122</v>
      </c>
      <c r="E51" s="41">
        <v>1400</v>
      </c>
      <c r="F51" s="41"/>
      <c r="G51" s="41"/>
      <c r="H51" s="41">
        <v>916.9</v>
      </c>
      <c r="I51" s="41">
        <f t="shared" si="12"/>
        <v>65.492857142857147</v>
      </c>
      <c r="J51" s="41"/>
    </row>
    <row r="52" spans="1:10" x14ac:dyDescent="0.25">
      <c r="A52" s="35"/>
      <c r="B52" s="36"/>
      <c r="C52" s="10">
        <v>3227</v>
      </c>
      <c r="D52" s="10" t="s">
        <v>124</v>
      </c>
      <c r="E52" s="41">
        <v>448.82</v>
      </c>
      <c r="F52" s="41"/>
      <c r="G52" s="41"/>
      <c r="H52" s="41"/>
      <c r="I52" s="41">
        <f t="shared" si="12"/>
        <v>0</v>
      </c>
      <c r="J52" s="41"/>
    </row>
    <row r="53" spans="1:10" x14ac:dyDescent="0.25">
      <c r="A53" s="35"/>
      <c r="B53" s="36"/>
      <c r="C53" s="10">
        <v>3231</v>
      </c>
      <c r="D53" s="10" t="s">
        <v>125</v>
      </c>
      <c r="E53" s="41">
        <v>0</v>
      </c>
      <c r="F53" s="41"/>
      <c r="G53" s="41"/>
      <c r="H53" s="41">
        <v>174.5</v>
      </c>
      <c r="I53" s="41" t="e">
        <f t="shared" si="12"/>
        <v>#DIV/0!</v>
      </c>
      <c r="J53" s="41"/>
    </row>
    <row r="54" spans="1:10" x14ac:dyDescent="0.25">
      <c r="A54" s="35"/>
      <c r="B54" s="36"/>
      <c r="C54" s="10">
        <v>3232</v>
      </c>
      <c r="D54" s="10" t="s">
        <v>126</v>
      </c>
      <c r="E54" s="41">
        <v>4092.78</v>
      </c>
      <c r="F54" s="41"/>
      <c r="G54" s="41"/>
      <c r="H54" s="41">
        <v>2655.78</v>
      </c>
      <c r="I54" s="41">
        <f t="shared" si="12"/>
        <v>64.889390585372283</v>
      </c>
      <c r="J54" s="41"/>
    </row>
    <row r="55" spans="1:10" x14ac:dyDescent="0.25">
      <c r="A55" s="35"/>
      <c r="B55" s="36"/>
      <c r="C55" s="10">
        <v>3234</v>
      </c>
      <c r="D55" s="10" t="s">
        <v>128</v>
      </c>
      <c r="E55" s="41">
        <v>4020.19</v>
      </c>
      <c r="F55" s="41"/>
      <c r="G55" s="41"/>
      <c r="H55" s="41">
        <v>2311.94</v>
      </c>
      <c r="I55" s="41">
        <f t="shared" si="12"/>
        <v>57.508227223091446</v>
      </c>
      <c r="J55" s="41"/>
    </row>
    <row r="56" spans="1:10" x14ac:dyDescent="0.25">
      <c r="A56" s="35"/>
      <c r="B56" s="36"/>
      <c r="C56" s="10">
        <v>3236</v>
      </c>
      <c r="D56" s="10" t="s">
        <v>130</v>
      </c>
      <c r="E56" s="41">
        <v>420</v>
      </c>
      <c r="F56" s="41"/>
      <c r="G56" s="41"/>
      <c r="H56" s="41">
        <v>460</v>
      </c>
      <c r="I56" s="41">
        <f t="shared" si="12"/>
        <v>109.52380952380953</v>
      </c>
      <c r="J56" s="41"/>
    </row>
    <row r="57" spans="1:10" x14ac:dyDescent="0.25">
      <c r="A57" s="35"/>
      <c r="B57" s="36"/>
      <c r="C57" s="10">
        <v>3237</v>
      </c>
      <c r="D57" s="10" t="s">
        <v>131</v>
      </c>
      <c r="E57" s="41">
        <v>0</v>
      </c>
      <c r="F57" s="41"/>
      <c r="G57" s="41"/>
      <c r="H57" s="41">
        <v>5042.38</v>
      </c>
      <c r="I57" s="41" t="e">
        <f t="shared" si="12"/>
        <v>#DIV/0!</v>
      </c>
      <c r="J57" s="41"/>
    </row>
    <row r="58" spans="1:10" x14ac:dyDescent="0.25">
      <c r="A58" s="35"/>
      <c r="B58" s="36"/>
      <c r="C58" s="10">
        <v>3238</v>
      </c>
      <c r="D58" s="10" t="s">
        <v>132</v>
      </c>
      <c r="E58" s="41">
        <v>1542.5</v>
      </c>
      <c r="F58" s="41"/>
      <c r="G58" s="41"/>
      <c r="H58" s="41">
        <v>1520.41</v>
      </c>
      <c r="I58" s="41">
        <f t="shared" si="12"/>
        <v>98.567909238249598</v>
      </c>
      <c r="J58" s="41"/>
    </row>
    <row r="59" spans="1:10" x14ac:dyDescent="0.25">
      <c r="A59" s="35"/>
      <c r="B59" s="36"/>
      <c r="C59" s="10">
        <v>3239</v>
      </c>
      <c r="D59" s="10" t="s">
        <v>133</v>
      </c>
      <c r="E59" s="41">
        <v>0</v>
      </c>
      <c r="F59" s="41"/>
      <c r="G59" s="41"/>
      <c r="H59" s="41"/>
      <c r="I59" s="41" t="e">
        <f t="shared" si="12"/>
        <v>#DIV/0!</v>
      </c>
      <c r="J59" s="41"/>
    </row>
    <row r="60" spans="1:10" x14ac:dyDescent="0.25">
      <c r="A60" s="35"/>
      <c r="B60" s="36"/>
      <c r="C60" s="112">
        <v>3292</v>
      </c>
      <c r="D60" s="112" t="s">
        <v>135</v>
      </c>
      <c r="E60" s="41">
        <v>0</v>
      </c>
      <c r="F60" s="41"/>
      <c r="G60" s="41"/>
      <c r="H60" s="41"/>
      <c r="I60" s="41" t="e">
        <f t="shared" si="12"/>
        <v>#DIV/0!</v>
      </c>
      <c r="J60" s="41"/>
    </row>
    <row r="61" spans="1:10" s="28" customFormat="1" x14ac:dyDescent="0.25">
      <c r="A61" s="141" t="s">
        <v>185</v>
      </c>
      <c r="B61" s="142"/>
      <c r="C61" s="143"/>
      <c r="D61" s="25" t="s">
        <v>42</v>
      </c>
      <c r="E61" s="42">
        <f>+E62+E64</f>
        <v>1095.55</v>
      </c>
      <c r="F61" s="42">
        <f t="shared" ref="F61:H61" si="13">+F62+F64</f>
        <v>50</v>
      </c>
      <c r="G61" s="42">
        <f t="shared" si="13"/>
        <v>559.70000000000005</v>
      </c>
      <c r="H61" s="42">
        <f t="shared" si="13"/>
        <v>559.70000000000005</v>
      </c>
      <c r="I61" s="42">
        <f t="shared" si="2"/>
        <v>51.088494363561686</v>
      </c>
      <c r="J61" s="42">
        <f t="shared" ref="J61:J169" si="14">H61/G61*100</f>
        <v>100</v>
      </c>
    </row>
    <row r="62" spans="1:10" s="68" customFormat="1" x14ac:dyDescent="0.25">
      <c r="A62" s="120">
        <v>32</v>
      </c>
      <c r="B62" s="115"/>
      <c r="C62" s="115"/>
      <c r="D62" s="23" t="s">
        <v>23</v>
      </c>
      <c r="E62" s="43">
        <f>SUM(E63)</f>
        <v>1014.18</v>
      </c>
      <c r="F62" s="43">
        <f t="shared" ref="F62" si="15">SUM(F63)</f>
        <v>0</v>
      </c>
      <c r="G62" s="43">
        <v>519.21</v>
      </c>
      <c r="H62" s="43">
        <f>SUM(H63)</f>
        <v>519.21</v>
      </c>
      <c r="I62" s="43">
        <f t="shared" si="2"/>
        <v>51.195054132402539</v>
      </c>
      <c r="J62" s="43">
        <f t="shared" si="14"/>
        <v>100</v>
      </c>
    </row>
    <row r="63" spans="1:10" x14ac:dyDescent="0.25">
      <c r="A63" s="35"/>
      <c r="B63" s="36"/>
      <c r="C63" s="10">
        <v>3232</v>
      </c>
      <c r="D63" s="10" t="s">
        <v>126</v>
      </c>
      <c r="E63" s="41">
        <v>1014.18</v>
      </c>
      <c r="F63" s="41"/>
      <c r="G63" s="41"/>
      <c r="H63" s="41">
        <v>519.21</v>
      </c>
      <c r="I63" s="41">
        <f t="shared" si="2"/>
        <v>51.195054132402539</v>
      </c>
      <c r="J63" s="41"/>
    </row>
    <row r="64" spans="1:10" s="68" customFormat="1" x14ac:dyDescent="0.25">
      <c r="A64" s="120">
        <v>34</v>
      </c>
      <c r="B64" s="115"/>
      <c r="C64" s="115"/>
      <c r="D64" s="23" t="s">
        <v>52</v>
      </c>
      <c r="E64" s="43">
        <f>SUM(E65)</f>
        <v>81.37</v>
      </c>
      <c r="F64" s="43">
        <v>50</v>
      </c>
      <c r="G64" s="43">
        <v>40.49</v>
      </c>
      <c r="H64" s="43">
        <f>SUM(H65)</f>
        <v>40.49</v>
      </c>
      <c r="I64" s="43">
        <f t="shared" si="2"/>
        <v>49.760353938798083</v>
      </c>
      <c r="J64" s="43">
        <f t="shared" si="14"/>
        <v>100</v>
      </c>
    </row>
    <row r="65" spans="1:10" x14ac:dyDescent="0.25">
      <c r="A65" s="35"/>
      <c r="B65" s="36"/>
      <c r="C65" s="37">
        <v>3431</v>
      </c>
      <c r="D65" s="22" t="s">
        <v>142</v>
      </c>
      <c r="E65" s="41">
        <v>81.37</v>
      </c>
      <c r="F65" s="41"/>
      <c r="G65" s="41"/>
      <c r="H65" s="41">
        <v>40.49</v>
      </c>
      <c r="I65" s="41">
        <f t="shared" si="2"/>
        <v>49.760353938798083</v>
      </c>
      <c r="J65" s="41"/>
    </row>
    <row r="66" spans="1:10" x14ac:dyDescent="0.25">
      <c r="A66" s="141" t="s">
        <v>188</v>
      </c>
      <c r="B66" s="142"/>
      <c r="C66" s="143"/>
      <c r="D66" s="25" t="s">
        <v>184</v>
      </c>
      <c r="E66" s="42">
        <f>+E67+E72+E98+E103</f>
        <v>969507.60999999987</v>
      </c>
      <c r="F66" s="42">
        <f t="shared" ref="F66:G66" si="16">+F67+F72+F98+F103</f>
        <v>1100000</v>
      </c>
      <c r="G66" s="42">
        <f t="shared" si="16"/>
        <v>1180000</v>
      </c>
      <c r="H66" s="42">
        <f>+H67+H72+H98+H103</f>
        <v>1239535.83</v>
      </c>
      <c r="I66" s="42">
        <f>H66/E66*100</f>
        <v>127.85209906707182</v>
      </c>
      <c r="J66" s="42">
        <f t="shared" si="14"/>
        <v>105.0454093220339</v>
      </c>
    </row>
    <row r="67" spans="1:10" s="68" customFormat="1" x14ac:dyDescent="0.25">
      <c r="A67" s="120">
        <v>31</v>
      </c>
      <c r="B67" s="118"/>
      <c r="C67" s="119"/>
      <c r="D67" s="23" t="s">
        <v>11</v>
      </c>
      <c r="E67" s="43">
        <f>SUM(E68:E71)</f>
        <v>700052.07</v>
      </c>
      <c r="F67" s="43">
        <v>835000</v>
      </c>
      <c r="G67" s="43">
        <v>889400</v>
      </c>
      <c r="H67" s="43">
        <f t="shared" ref="H67" si="17">SUM(H68:H71)</f>
        <v>946296.49</v>
      </c>
      <c r="I67" s="43">
        <f t="shared" ref="I67" si="18">H67/E67*100</f>
        <v>135.17515775647945</v>
      </c>
      <c r="J67" s="43">
        <f t="shared" si="14"/>
        <v>106.39717674836969</v>
      </c>
    </row>
    <row r="68" spans="1:10" x14ac:dyDescent="0.25">
      <c r="A68" s="35"/>
      <c r="B68" s="36"/>
      <c r="C68" s="10">
        <v>3111</v>
      </c>
      <c r="D68" s="10" t="s">
        <v>93</v>
      </c>
      <c r="E68" s="44">
        <v>464327.3</v>
      </c>
      <c r="F68" s="44"/>
      <c r="G68" s="44"/>
      <c r="H68" s="44">
        <v>674411.59</v>
      </c>
      <c r="I68" s="41">
        <f t="shared" si="2"/>
        <v>145.24487145166782</v>
      </c>
      <c r="J68" s="41"/>
    </row>
    <row r="69" spans="1:10" x14ac:dyDescent="0.25">
      <c r="A69" s="35"/>
      <c r="B69" s="36"/>
      <c r="C69" s="10">
        <v>3114</v>
      </c>
      <c r="D69" s="10" t="s">
        <v>112</v>
      </c>
      <c r="E69" s="44">
        <v>100810.39</v>
      </c>
      <c r="F69" s="44"/>
      <c r="G69" s="44"/>
      <c r="H69" s="44">
        <v>107331.75</v>
      </c>
      <c r="I69" s="41">
        <f t="shared" si="2"/>
        <v>106.46893638641811</v>
      </c>
      <c r="J69" s="41"/>
    </row>
    <row r="70" spans="1:10" x14ac:dyDescent="0.25">
      <c r="A70" s="35"/>
      <c r="B70" s="36"/>
      <c r="C70" s="10">
        <v>3121</v>
      </c>
      <c r="D70" s="10" t="s">
        <v>113</v>
      </c>
      <c r="E70" s="44">
        <v>42017.8</v>
      </c>
      <c r="F70" s="44"/>
      <c r="G70" s="44"/>
      <c r="H70" s="44">
        <v>63816.71</v>
      </c>
      <c r="I70" s="41">
        <f t="shared" si="2"/>
        <v>151.88017935256008</v>
      </c>
      <c r="J70" s="41"/>
    </row>
    <row r="71" spans="1:10" x14ac:dyDescent="0.25">
      <c r="A71" s="35"/>
      <c r="B71" s="36"/>
      <c r="C71" s="10">
        <v>3132</v>
      </c>
      <c r="D71" s="10" t="s">
        <v>114</v>
      </c>
      <c r="E71" s="44">
        <v>92896.58</v>
      </c>
      <c r="F71" s="44"/>
      <c r="H71" s="44">
        <v>100736.44</v>
      </c>
      <c r="I71" s="41">
        <f t="shared" si="2"/>
        <v>108.43934190042303</v>
      </c>
      <c r="J71" s="41"/>
    </row>
    <row r="72" spans="1:10" s="68" customFormat="1" x14ac:dyDescent="0.25">
      <c r="A72" s="120">
        <v>32</v>
      </c>
      <c r="B72" s="115"/>
      <c r="C72" s="116"/>
      <c r="D72" s="23" t="s">
        <v>23</v>
      </c>
      <c r="E72" s="43">
        <f>SUM(E73:E97)</f>
        <v>259004.34</v>
      </c>
      <c r="F72" s="43">
        <v>257000</v>
      </c>
      <c r="G72" s="43">
        <v>280500</v>
      </c>
      <c r="H72" s="43">
        <f>SUM(H73:H97)</f>
        <v>283242.07000000007</v>
      </c>
      <c r="I72" s="43">
        <f t="shared" si="2"/>
        <v>109.35804010079524</v>
      </c>
      <c r="J72" s="43">
        <f t="shared" si="14"/>
        <v>100.97756506238862</v>
      </c>
    </row>
    <row r="73" spans="1:10" s="68" customFormat="1" x14ac:dyDescent="0.25">
      <c r="A73" s="120"/>
      <c r="B73" s="115"/>
      <c r="C73" s="10">
        <v>3211</v>
      </c>
      <c r="D73" s="10" t="s">
        <v>91</v>
      </c>
      <c r="E73" s="41">
        <v>468.6</v>
      </c>
      <c r="F73" s="43"/>
      <c r="G73" s="43"/>
      <c r="H73" s="41">
        <v>0</v>
      </c>
      <c r="I73" s="41">
        <f t="shared" si="2"/>
        <v>0</v>
      </c>
      <c r="J73" s="43"/>
    </row>
    <row r="74" spans="1:10" x14ac:dyDescent="0.25">
      <c r="A74" s="35"/>
      <c r="B74" s="36"/>
      <c r="C74" s="10">
        <v>3212</v>
      </c>
      <c r="D74" s="10" t="s">
        <v>115</v>
      </c>
      <c r="E74" s="41">
        <v>31125.22</v>
      </c>
      <c r="F74" s="41"/>
      <c r="G74" s="41"/>
      <c r="H74" s="41">
        <v>48754.93</v>
      </c>
      <c r="I74" s="41">
        <f t="shared" si="2"/>
        <v>156.641238198477</v>
      </c>
      <c r="J74" s="41"/>
    </row>
    <row r="75" spans="1:10" x14ac:dyDescent="0.25">
      <c r="A75" s="35"/>
      <c r="B75" s="36"/>
      <c r="C75" s="10">
        <v>3213</v>
      </c>
      <c r="D75" s="10" t="s">
        <v>116</v>
      </c>
      <c r="E75" s="41">
        <v>825.2</v>
      </c>
      <c r="F75" s="41"/>
      <c r="G75" s="41"/>
      <c r="H75" s="41">
        <v>232.41</v>
      </c>
      <c r="I75" s="41">
        <f t="shared" si="2"/>
        <v>28.164081434803684</v>
      </c>
      <c r="J75" s="41"/>
    </row>
    <row r="76" spans="1:10" x14ac:dyDescent="0.25">
      <c r="A76" s="35"/>
      <c r="B76" s="36"/>
      <c r="C76" s="10">
        <v>3214</v>
      </c>
      <c r="D76" s="10" t="s">
        <v>117</v>
      </c>
      <c r="E76" s="41">
        <v>1770.12</v>
      </c>
      <c r="F76" s="41"/>
      <c r="G76" s="41"/>
      <c r="H76" s="41">
        <v>1621.93</v>
      </c>
      <c r="I76" s="41">
        <f t="shared" si="2"/>
        <v>91.628251192009586</v>
      </c>
      <c r="J76" s="41"/>
    </row>
    <row r="77" spans="1:10" x14ac:dyDescent="0.25">
      <c r="A77" s="35"/>
      <c r="B77" s="36"/>
      <c r="C77" s="10">
        <v>3221</v>
      </c>
      <c r="D77" s="10" t="s">
        <v>118</v>
      </c>
      <c r="E77" s="41">
        <v>10344.790000000001</v>
      </c>
      <c r="F77" s="41"/>
      <c r="G77" s="41"/>
      <c r="H77" s="41">
        <v>12681.29</v>
      </c>
      <c r="I77" s="41">
        <f t="shared" si="2"/>
        <v>122.58624873003706</v>
      </c>
      <c r="J77" s="41"/>
    </row>
    <row r="78" spans="1:10" x14ac:dyDescent="0.25">
      <c r="A78" s="35"/>
      <c r="B78" s="36"/>
      <c r="C78" s="10">
        <v>3222</v>
      </c>
      <c r="D78" s="10" t="s">
        <v>119</v>
      </c>
      <c r="E78" s="41">
        <v>98149.78</v>
      </c>
      <c r="F78" s="41"/>
      <c r="G78" s="41"/>
      <c r="H78" s="41">
        <f>113725.95-555.62</f>
        <v>113170.33</v>
      </c>
      <c r="I78" s="41">
        <f t="shared" si="2"/>
        <v>115.30370215806902</v>
      </c>
      <c r="J78" s="41"/>
    </row>
    <row r="79" spans="1:10" x14ac:dyDescent="0.25">
      <c r="A79" s="35"/>
      <c r="B79" s="36"/>
      <c r="C79" s="10">
        <v>3223</v>
      </c>
      <c r="D79" s="10" t="s">
        <v>120</v>
      </c>
      <c r="E79" s="41">
        <v>33804.01</v>
      </c>
      <c r="F79" s="41"/>
      <c r="G79" s="41"/>
      <c r="H79" s="41">
        <v>23992.84</v>
      </c>
      <c r="I79" s="41">
        <f t="shared" si="2"/>
        <v>70.976313165213227</v>
      </c>
      <c r="J79" s="41"/>
    </row>
    <row r="80" spans="1:10" x14ac:dyDescent="0.25">
      <c r="A80" s="35"/>
      <c r="B80" s="36"/>
      <c r="C80" s="10">
        <v>3224</v>
      </c>
      <c r="D80" s="10" t="s">
        <v>121</v>
      </c>
      <c r="E80" s="41">
        <v>1240.6199999999999</v>
      </c>
      <c r="F80" s="41"/>
      <c r="G80" s="41"/>
      <c r="H80" s="41">
        <v>4290.37</v>
      </c>
      <c r="I80" s="41">
        <f t="shared" si="2"/>
        <v>345.82466831100584</v>
      </c>
      <c r="J80" s="41"/>
    </row>
    <row r="81" spans="1:10" x14ac:dyDescent="0.25">
      <c r="A81" s="35"/>
      <c r="B81" s="36"/>
      <c r="C81" s="10">
        <v>3225</v>
      </c>
      <c r="D81" s="10" t="s">
        <v>122</v>
      </c>
      <c r="E81" s="41">
        <v>5946.88</v>
      </c>
      <c r="F81" s="41"/>
      <c r="G81" s="41"/>
      <c r="H81" s="41">
        <v>3237.08</v>
      </c>
      <c r="I81" s="41">
        <f t="shared" si="2"/>
        <v>54.433249031424879</v>
      </c>
      <c r="J81" s="41"/>
    </row>
    <row r="82" spans="1:10" x14ac:dyDescent="0.25">
      <c r="A82" s="35"/>
      <c r="B82" s="36"/>
      <c r="C82" s="10">
        <v>3227</v>
      </c>
      <c r="D82" s="10" t="s">
        <v>124</v>
      </c>
      <c r="E82" s="41">
        <v>839.41</v>
      </c>
      <c r="F82" s="41"/>
      <c r="G82" s="41"/>
      <c r="H82" s="41">
        <v>3954.16</v>
      </c>
      <c r="I82" s="41">
        <f t="shared" si="2"/>
        <v>471.06419985465982</v>
      </c>
      <c r="J82" s="41"/>
    </row>
    <row r="83" spans="1:10" x14ac:dyDescent="0.25">
      <c r="A83" s="35"/>
      <c r="B83" s="36"/>
      <c r="C83" s="10">
        <v>3231</v>
      </c>
      <c r="D83" s="10" t="s">
        <v>125</v>
      </c>
      <c r="E83" s="114">
        <v>1943.77</v>
      </c>
      <c r="F83" s="41"/>
      <c r="G83" s="41"/>
      <c r="H83" s="114">
        <v>1728.83</v>
      </c>
      <c r="I83" s="41">
        <f t="shared" si="2"/>
        <v>88.942107348091596</v>
      </c>
      <c r="J83" s="41"/>
    </row>
    <row r="84" spans="1:10" x14ac:dyDescent="0.25">
      <c r="A84" s="35"/>
      <c r="B84" s="36"/>
      <c r="C84" s="10">
        <v>3232</v>
      </c>
      <c r="D84" s="10" t="s">
        <v>126</v>
      </c>
      <c r="E84" s="41">
        <v>31792.26</v>
      </c>
      <c r="F84" s="41"/>
      <c r="G84" s="41"/>
      <c r="H84" s="41">
        <v>33439.839999999997</v>
      </c>
      <c r="I84" s="41">
        <f t="shared" si="2"/>
        <v>105.18233054208793</v>
      </c>
      <c r="J84" s="41"/>
    </row>
    <row r="85" spans="1:10" x14ac:dyDescent="0.25">
      <c r="A85" s="35"/>
      <c r="B85" s="36"/>
      <c r="C85" s="10">
        <v>3233</v>
      </c>
      <c r="D85" s="10" t="s">
        <v>127</v>
      </c>
      <c r="E85" s="41">
        <v>0</v>
      </c>
      <c r="F85" s="41"/>
      <c r="G85" s="41"/>
      <c r="H85" s="41">
        <v>497.7</v>
      </c>
      <c r="I85" s="41" t="e">
        <f t="shared" si="2"/>
        <v>#DIV/0!</v>
      </c>
      <c r="J85" s="41"/>
    </row>
    <row r="86" spans="1:10" x14ac:dyDescent="0.25">
      <c r="A86" s="35"/>
      <c r="B86" s="36"/>
      <c r="C86" s="10">
        <v>3234</v>
      </c>
      <c r="D86" s="10" t="s">
        <v>128</v>
      </c>
      <c r="E86" s="41">
        <v>15727.58</v>
      </c>
      <c r="F86" s="41"/>
      <c r="G86" s="41"/>
      <c r="H86" s="41">
        <v>15779.23</v>
      </c>
      <c r="I86" s="41">
        <f t="shared" si="2"/>
        <v>100.32840398840763</v>
      </c>
      <c r="J86" s="41"/>
    </row>
    <row r="87" spans="1:10" x14ac:dyDescent="0.25">
      <c r="A87" s="35"/>
      <c r="B87" s="36"/>
      <c r="C87" s="10">
        <v>3236</v>
      </c>
      <c r="D87" s="10" t="s">
        <v>130</v>
      </c>
      <c r="E87" s="41">
        <v>3459.22</v>
      </c>
      <c r="F87" s="41"/>
      <c r="G87" s="41"/>
      <c r="H87" s="41">
        <v>3278.19</v>
      </c>
      <c r="I87" s="41">
        <f t="shared" si="2"/>
        <v>94.766739322737507</v>
      </c>
      <c r="J87" s="41"/>
    </row>
    <row r="88" spans="1:10" x14ac:dyDescent="0.25">
      <c r="A88" s="35"/>
      <c r="B88" s="36"/>
      <c r="C88" s="10">
        <v>3237</v>
      </c>
      <c r="D88" s="10" t="s">
        <v>131</v>
      </c>
      <c r="E88" s="41">
        <v>5361.05</v>
      </c>
      <c r="F88" s="41"/>
      <c r="G88" s="41"/>
      <c r="H88" s="41">
        <v>3831.14</v>
      </c>
      <c r="I88" s="41">
        <f t="shared" si="2"/>
        <v>71.462493354846529</v>
      </c>
      <c r="J88" s="41"/>
    </row>
    <row r="89" spans="1:10" x14ac:dyDescent="0.25">
      <c r="A89" s="35"/>
      <c r="B89" s="36"/>
      <c r="C89" s="10">
        <v>3238</v>
      </c>
      <c r="D89" s="10" t="s">
        <v>132</v>
      </c>
      <c r="E89" s="41">
        <v>7295.4</v>
      </c>
      <c r="F89" s="41"/>
      <c r="G89" s="41"/>
      <c r="H89" s="41">
        <v>8286.02</v>
      </c>
      <c r="I89" s="41">
        <f t="shared" si="2"/>
        <v>113.57869342325301</v>
      </c>
      <c r="J89" s="41"/>
    </row>
    <row r="90" spans="1:10" x14ac:dyDescent="0.25">
      <c r="A90" s="35"/>
      <c r="B90" s="36"/>
      <c r="C90" s="10">
        <v>3239</v>
      </c>
      <c r="D90" s="10" t="s">
        <v>133</v>
      </c>
      <c r="E90" s="41">
        <v>1009.56</v>
      </c>
      <c r="F90" s="41"/>
      <c r="G90" s="41"/>
      <c r="H90" s="41">
        <v>706.95</v>
      </c>
      <c r="I90" s="41">
        <f t="shared" si="2"/>
        <v>70.025555687626309</v>
      </c>
      <c r="J90" s="41"/>
    </row>
    <row r="91" spans="1:10" ht="13.5" customHeight="1" x14ac:dyDescent="0.25">
      <c r="A91" s="35"/>
      <c r="B91" s="36"/>
      <c r="C91" s="10">
        <v>3291</v>
      </c>
      <c r="D91" s="22" t="s">
        <v>196</v>
      </c>
      <c r="E91" s="41">
        <v>0</v>
      </c>
      <c r="F91" s="41"/>
      <c r="G91" s="41"/>
      <c r="H91" s="41">
        <v>410.81</v>
      </c>
      <c r="I91" s="41" t="e">
        <f t="shared" si="2"/>
        <v>#DIV/0!</v>
      </c>
      <c r="J91" s="41"/>
    </row>
    <row r="92" spans="1:10" x14ac:dyDescent="0.25">
      <c r="A92" s="35"/>
      <c r="B92" s="36"/>
      <c r="C92" s="10">
        <v>3292</v>
      </c>
      <c r="D92" s="112" t="s">
        <v>135</v>
      </c>
      <c r="E92" s="41">
        <v>2384.38</v>
      </c>
      <c r="F92" s="41"/>
      <c r="G92" s="41"/>
      <c r="H92" s="41">
        <v>2054.7600000000002</v>
      </c>
      <c r="I92" s="41">
        <f t="shared" si="2"/>
        <v>86.175861230173041</v>
      </c>
      <c r="J92" s="41"/>
    </row>
    <row r="93" spans="1:10" x14ac:dyDescent="0.25">
      <c r="A93" s="35"/>
      <c r="B93" s="36"/>
      <c r="C93" s="10">
        <v>3293</v>
      </c>
      <c r="D93" s="112" t="s">
        <v>136</v>
      </c>
      <c r="E93" s="41">
        <v>347.91</v>
      </c>
      <c r="F93" s="41"/>
      <c r="G93" s="41"/>
      <c r="H93" s="41">
        <v>440.06</v>
      </c>
      <c r="I93" s="41">
        <f t="shared" si="2"/>
        <v>126.4867350751631</v>
      </c>
      <c r="J93" s="41"/>
    </row>
    <row r="94" spans="1:10" x14ac:dyDescent="0.25">
      <c r="A94" s="35"/>
      <c r="B94" s="36"/>
      <c r="C94" s="10">
        <v>3294</v>
      </c>
      <c r="D94" s="112" t="s">
        <v>137</v>
      </c>
      <c r="E94" s="41">
        <v>0</v>
      </c>
      <c r="F94" s="41"/>
      <c r="G94" s="41"/>
      <c r="H94" s="41"/>
      <c r="I94" s="41" t="e">
        <f t="shared" si="2"/>
        <v>#DIV/0!</v>
      </c>
      <c r="J94" s="41"/>
    </row>
    <row r="95" spans="1:10" x14ac:dyDescent="0.25">
      <c r="A95" s="35"/>
      <c r="B95" s="36"/>
      <c r="C95" s="10">
        <v>3295</v>
      </c>
      <c r="D95" s="112" t="s">
        <v>138</v>
      </c>
      <c r="E95" s="41">
        <v>1502.63</v>
      </c>
      <c r="F95" s="41"/>
      <c r="G95" s="41"/>
      <c r="H95" s="41">
        <v>175.7</v>
      </c>
      <c r="I95" s="41">
        <f t="shared" si="2"/>
        <v>11.692831901399545</v>
      </c>
      <c r="J95" s="41"/>
    </row>
    <row r="96" spans="1:10" x14ac:dyDescent="0.25">
      <c r="A96" s="35"/>
      <c r="B96" s="36"/>
      <c r="C96" s="10">
        <v>3296</v>
      </c>
      <c r="D96" s="112" t="s">
        <v>140</v>
      </c>
      <c r="E96" s="41">
        <v>3571.04</v>
      </c>
      <c r="F96" s="41"/>
      <c r="G96" s="41"/>
      <c r="H96" s="41">
        <v>577.5</v>
      </c>
      <c r="I96" s="41">
        <f t="shared" si="2"/>
        <v>16.171759487432233</v>
      </c>
      <c r="J96" s="41"/>
    </row>
    <row r="97" spans="1:10" x14ac:dyDescent="0.25">
      <c r="A97" s="35"/>
      <c r="B97" s="36"/>
      <c r="C97" s="10">
        <v>3299</v>
      </c>
      <c r="D97" s="112" t="s">
        <v>141</v>
      </c>
      <c r="E97" s="41">
        <v>94.91</v>
      </c>
      <c r="F97" s="41"/>
      <c r="G97" s="41"/>
      <c r="H97" s="41">
        <v>100</v>
      </c>
      <c r="I97" s="41">
        <f t="shared" si="2"/>
        <v>105.36297545042672</v>
      </c>
      <c r="J97" s="41"/>
    </row>
    <row r="98" spans="1:10" s="68" customFormat="1" x14ac:dyDescent="0.25">
      <c r="A98" s="120">
        <v>34</v>
      </c>
      <c r="B98" s="115"/>
      <c r="C98" s="116"/>
      <c r="D98" s="23" t="s">
        <v>52</v>
      </c>
      <c r="E98" s="43">
        <f>SUM(E99:E102)</f>
        <v>3756.73</v>
      </c>
      <c r="F98" s="43">
        <v>2000</v>
      </c>
      <c r="G98" s="43">
        <v>4500</v>
      </c>
      <c r="H98" s="43">
        <f>SUM(H99:H102)</f>
        <v>4443.6100000000006</v>
      </c>
      <c r="I98" s="43">
        <f t="shared" ref="I98" si="19">H98/E98*100</f>
        <v>118.28398633918329</v>
      </c>
      <c r="J98" s="43">
        <f t="shared" ref="J98" si="20">H98/G98*100</f>
        <v>98.746888888888904</v>
      </c>
    </row>
    <row r="99" spans="1:10" x14ac:dyDescent="0.25">
      <c r="A99" s="35"/>
      <c r="B99" s="36"/>
      <c r="C99" s="37">
        <v>3431</v>
      </c>
      <c r="D99" s="22" t="s">
        <v>142</v>
      </c>
      <c r="E99" s="41">
        <v>1576.87</v>
      </c>
      <c r="F99" s="41"/>
      <c r="G99" s="41"/>
      <c r="H99" s="41">
        <v>2076.38</v>
      </c>
      <c r="I99" s="41">
        <f t="shared" si="2"/>
        <v>131.67731011434046</v>
      </c>
      <c r="J99" s="41"/>
    </row>
    <row r="100" spans="1:10" ht="25.5" x14ac:dyDescent="0.25">
      <c r="A100" s="35"/>
      <c r="B100" s="36"/>
      <c r="C100" s="37">
        <v>3432</v>
      </c>
      <c r="D100" s="22" t="s">
        <v>143</v>
      </c>
      <c r="E100" s="41">
        <v>0.02</v>
      </c>
      <c r="F100" s="41"/>
      <c r="G100" s="41"/>
      <c r="H100" s="41">
        <v>0</v>
      </c>
      <c r="I100" s="41">
        <f t="shared" si="2"/>
        <v>0</v>
      </c>
      <c r="J100" s="41"/>
    </row>
    <row r="101" spans="1:10" x14ac:dyDescent="0.25">
      <c r="A101" s="35"/>
      <c r="B101" s="36"/>
      <c r="C101" s="37">
        <v>3433</v>
      </c>
      <c r="D101" s="22" t="s">
        <v>144</v>
      </c>
      <c r="E101" s="41">
        <v>2179.84</v>
      </c>
      <c r="F101" s="41"/>
      <c r="G101" s="41"/>
      <c r="H101" s="41">
        <v>367.23</v>
      </c>
      <c r="I101" s="41">
        <f t="shared" si="2"/>
        <v>16.846649295361125</v>
      </c>
      <c r="J101" s="41"/>
    </row>
    <row r="102" spans="1:10" x14ac:dyDescent="0.25">
      <c r="A102" s="35"/>
      <c r="B102" s="36"/>
      <c r="C102" s="37">
        <v>3434</v>
      </c>
      <c r="D102" s="22" t="s">
        <v>145</v>
      </c>
      <c r="E102" s="41">
        <v>0</v>
      </c>
      <c r="F102" s="41"/>
      <c r="G102" s="41"/>
      <c r="H102" s="41">
        <v>2000</v>
      </c>
      <c r="I102" s="41" t="e">
        <f t="shared" si="2"/>
        <v>#DIV/0!</v>
      </c>
      <c r="J102" s="41"/>
    </row>
    <row r="103" spans="1:10" s="68" customFormat="1" ht="25.5" x14ac:dyDescent="0.25">
      <c r="A103" s="120">
        <v>37</v>
      </c>
      <c r="B103" s="115"/>
      <c r="C103" s="116"/>
      <c r="D103" s="23" t="s">
        <v>152</v>
      </c>
      <c r="E103" s="43">
        <f>SUM(E104)</f>
        <v>6694.47</v>
      </c>
      <c r="F103" s="43">
        <v>6000</v>
      </c>
      <c r="G103" s="43">
        <v>5600</v>
      </c>
      <c r="H103" s="43">
        <f>SUM(H104)</f>
        <v>5553.66</v>
      </c>
      <c r="I103" s="43">
        <f t="shared" ref="I103" si="21">H103/E103*100</f>
        <v>82.958919824870364</v>
      </c>
      <c r="J103" s="43">
        <f t="shared" ref="J103" si="22">H103/G103*100</f>
        <v>99.172499999999999</v>
      </c>
    </row>
    <row r="104" spans="1:10" s="68" customFormat="1" x14ac:dyDescent="0.25">
      <c r="A104" s="120"/>
      <c r="B104" s="115"/>
      <c r="C104" s="37">
        <v>3721</v>
      </c>
      <c r="D104" s="22" t="s">
        <v>146</v>
      </c>
      <c r="E104" s="41">
        <v>6694.47</v>
      </c>
      <c r="F104" s="43"/>
      <c r="G104" s="43"/>
      <c r="H104" s="41">
        <v>5553.66</v>
      </c>
      <c r="I104" s="41">
        <f t="shared" si="2"/>
        <v>82.958919824870364</v>
      </c>
      <c r="J104" s="43"/>
    </row>
    <row r="105" spans="1:10" s="28" customFormat="1" ht="15" customHeight="1" x14ac:dyDescent="0.25">
      <c r="A105" s="141" t="s">
        <v>187</v>
      </c>
      <c r="B105" s="142"/>
      <c r="C105" s="143"/>
      <c r="D105" s="25" t="s">
        <v>186</v>
      </c>
      <c r="E105" s="42">
        <f>+E106</f>
        <v>6834.37</v>
      </c>
      <c r="F105" s="42">
        <f t="shared" ref="F105:H105" si="23">+F106</f>
        <v>0</v>
      </c>
      <c r="G105" s="42">
        <f t="shared" si="23"/>
        <v>555.62</v>
      </c>
      <c r="H105" s="42">
        <f t="shared" si="23"/>
        <v>555.62</v>
      </c>
      <c r="I105" s="42">
        <f t="shared" ref="I105:I107" si="24">H105/E105*100</f>
        <v>8.1297910414566381</v>
      </c>
      <c r="J105" s="42">
        <f t="shared" ref="J105" si="25">H105/G105*100</f>
        <v>100</v>
      </c>
    </row>
    <row r="106" spans="1:10" s="68" customFormat="1" x14ac:dyDescent="0.25">
      <c r="A106" s="120">
        <v>32</v>
      </c>
      <c r="B106" s="115"/>
      <c r="C106" s="116"/>
      <c r="D106" s="23" t="s">
        <v>23</v>
      </c>
      <c r="E106" s="43">
        <f>SUM(E107:E109)</f>
        <v>6834.37</v>
      </c>
      <c r="F106" s="43">
        <f t="shared" ref="F106" si="26">SUM(F107)</f>
        <v>0</v>
      </c>
      <c r="G106" s="43">
        <v>555.62</v>
      </c>
      <c r="H106" s="43">
        <f>SUM(H107:H109)</f>
        <v>555.62</v>
      </c>
      <c r="I106" s="43">
        <f t="shared" si="24"/>
        <v>8.1297910414566381</v>
      </c>
      <c r="J106" s="43"/>
    </row>
    <row r="107" spans="1:10" x14ac:dyDescent="0.25">
      <c r="A107" s="35"/>
      <c r="B107" s="36"/>
      <c r="C107" s="10">
        <v>3222</v>
      </c>
      <c r="D107" s="10" t="s">
        <v>119</v>
      </c>
      <c r="E107" s="41">
        <v>0</v>
      </c>
      <c r="F107" s="41"/>
      <c r="G107" s="41"/>
      <c r="H107" s="41">
        <v>555.62</v>
      </c>
      <c r="I107" s="41" t="e">
        <f t="shared" si="24"/>
        <v>#DIV/0!</v>
      </c>
      <c r="J107" s="41"/>
    </row>
    <row r="108" spans="1:10" x14ac:dyDescent="0.25">
      <c r="A108" s="35"/>
      <c r="B108" s="36"/>
      <c r="C108" s="10">
        <v>3232</v>
      </c>
      <c r="D108" s="10" t="s">
        <v>126</v>
      </c>
      <c r="E108" s="41">
        <v>6497.5</v>
      </c>
      <c r="F108" s="41"/>
      <c r="G108" s="41"/>
      <c r="H108" s="41"/>
      <c r="I108" s="41" t="s">
        <v>87</v>
      </c>
      <c r="J108" s="41"/>
    </row>
    <row r="109" spans="1:10" x14ac:dyDescent="0.25">
      <c r="A109" s="35"/>
      <c r="B109" s="36"/>
      <c r="C109" s="10">
        <v>3237</v>
      </c>
      <c r="D109" s="10" t="s">
        <v>131</v>
      </c>
      <c r="E109" s="41">
        <v>336.87</v>
      </c>
      <c r="F109" s="41"/>
      <c r="G109" s="41"/>
      <c r="H109" s="41"/>
      <c r="I109" s="41" t="s">
        <v>87</v>
      </c>
      <c r="J109" s="41"/>
    </row>
    <row r="110" spans="1:10" x14ac:dyDescent="0.25">
      <c r="A110" s="141" t="s">
        <v>189</v>
      </c>
      <c r="B110" s="142"/>
      <c r="C110" s="143"/>
      <c r="D110" s="25" t="s">
        <v>190</v>
      </c>
      <c r="E110" s="42">
        <f>+E111</f>
        <v>351.58</v>
      </c>
      <c r="F110" s="42">
        <f t="shared" ref="F110:H110" si="27">+F111</f>
        <v>1000</v>
      </c>
      <c r="G110" s="42">
        <f t="shared" si="27"/>
        <v>97.45</v>
      </c>
      <c r="H110" s="42">
        <f t="shared" si="27"/>
        <v>652.75</v>
      </c>
      <c r="I110" s="42">
        <f t="shared" si="2"/>
        <v>185.6618692758405</v>
      </c>
      <c r="J110" s="42">
        <f t="shared" si="14"/>
        <v>669.83068240123146</v>
      </c>
    </row>
    <row r="111" spans="1:10" s="68" customFormat="1" x14ac:dyDescent="0.25">
      <c r="A111" s="120">
        <v>32</v>
      </c>
      <c r="B111" s="115"/>
      <c r="C111" s="116"/>
      <c r="D111" s="23" t="s">
        <v>23</v>
      </c>
      <c r="E111" s="43">
        <f>SUM(E112:E115)</f>
        <v>351.58</v>
      </c>
      <c r="F111" s="43">
        <v>1000</v>
      </c>
      <c r="G111" s="43">
        <v>97.45</v>
      </c>
      <c r="H111" s="43">
        <f>SUM(H112:H115)</f>
        <v>652.75</v>
      </c>
      <c r="I111" s="43">
        <f t="shared" si="2"/>
        <v>185.6618692758405</v>
      </c>
      <c r="J111" s="43"/>
    </row>
    <row r="112" spans="1:10" x14ac:dyDescent="0.25">
      <c r="A112" s="35"/>
      <c r="B112" s="36"/>
      <c r="C112" s="10">
        <v>3221</v>
      </c>
      <c r="D112" s="10" t="s">
        <v>118</v>
      </c>
      <c r="E112" s="41">
        <v>351.58</v>
      </c>
      <c r="F112" s="41"/>
      <c r="G112" s="41"/>
      <c r="H112" s="41"/>
      <c r="I112" s="41">
        <f t="shared" ref="I112:I115" si="28">H112/E112*100</f>
        <v>0</v>
      </c>
      <c r="J112" s="41"/>
    </row>
    <row r="113" spans="1:10" x14ac:dyDescent="0.25">
      <c r="A113" s="35"/>
      <c r="B113" s="36"/>
      <c r="C113" s="10">
        <v>3222</v>
      </c>
      <c r="D113" s="10" t="s">
        <v>119</v>
      </c>
      <c r="E113" s="41">
        <v>0</v>
      </c>
      <c r="F113" s="41"/>
      <c r="G113" s="41"/>
      <c r="H113" s="41">
        <v>597.45000000000005</v>
      </c>
      <c r="I113" s="41" t="e">
        <f t="shared" si="28"/>
        <v>#DIV/0!</v>
      </c>
      <c r="J113" s="41"/>
    </row>
    <row r="114" spans="1:10" x14ac:dyDescent="0.25">
      <c r="A114" s="35"/>
      <c r="B114" s="36"/>
      <c r="C114" s="10">
        <v>3232</v>
      </c>
      <c r="D114" s="10" t="s">
        <v>126</v>
      </c>
      <c r="E114" s="41">
        <v>0</v>
      </c>
      <c r="F114" s="41"/>
      <c r="G114" s="41"/>
      <c r="H114" s="41">
        <v>55.3</v>
      </c>
      <c r="I114" s="41" t="e">
        <f t="shared" si="28"/>
        <v>#DIV/0!</v>
      </c>
      <c r="J114" s="41"/>
    </row>
    <row r="115" spans="1:10" x14ac:dyDescent="0.25">
      <c r="A115" s="35"/>
      <c r="B115" s="36"/>
      <c r="C115" s="10">
        <v>3236</v>
      </c>
      <c r="D115" s="10" t="s">
        <v>130</v>
      </c>
      <c r="E115" s="41">
        <v>0</v>
      </c>
      <c r="F115" s="41"/>
      <c r="G115" s="41"/>
      <c r="H115" s="41"/>
      <c r="I115" s="41" t="e">
        <f t="shared" si="28"/>
        <v>#DIV/0!</v>
      </c>
      <c r="J115" s="41"/>
    </row>
    <row r="116" spans="1:10" ht="15" customHeight="1" x14ac:dyDescent="0.25">
      <c r="A116" s="141" t="s">
        <v>191</v>
      </c>
      <c r="B116" s="142"/>
      <c r="C116" s="143"/>
      <c r="D116" s="25" t="s">
        <v>192</v>
      </c>
      <c r="E116" s="42">
        <f>+E117</f>
        <v>5463.4400000000005</v>
      </c>
      <c r="F116" s="42">
        <f t="shared" ref="F116:G116" si="29">+F117</f>
        <v>0</v>
      </c>
      <c r="G116" s="42">
        <f t="shared" si="29"/>
        <v>1712.9</v>
      </c>
      <c r="H116" s="42">
        <f>+H117</f>
        <v>5086.0200000000004</v>
      </c>
      <c r="I116" s="42">
        <f t="shared" si="2"/>
        <v>93.091898144758616</v>
      </c>
      <c r="J116" s="42">
        <v>0</v>
      </c>
    </row>
    <row r="117" spans="1:10" s="68" customFormat="1" x14ac:dyDescent="0.25">
      <c r="A117" s="144">
        <v>32</v>
      </c>
      <c r="B117" s="145"/>
      <c r="C117" s="146"/>
      <c r="D117" s="23" t="s">
        <v>23</v>
      </c>
      <c r="E117" s="43">
        <f>SUM(E118:E120)</f>
        <v>5463.4400000000005</v>
      </c>
      <c r="F117" s="43">
        <v>0</v>
      </c>
      <c r="G117" s="43">
        <v>1712.9</v>
      </c>
      <c r="H117" s="43">
        <f>SUM(H118:H119)</f>
        <v>5086.0200000000004</v>
      </c>
      <c r="I117" s="43">
        <f t="shared" si="2"/>
        <v>93.091898144758616</v>
      </c>
      <c r="J117" s="43">
        <v>0</v>
      </c>
    </row>
    <row r="118" spans="1:10" x14ac:dyDescent="0.25">
      <c r="A118" s="35"/>
      <c r="B118" s="36"/>
      <c r="C118" s="10">
        <v>3221</v>
      </c>
      <c r="D118" s="10" t="s">
        <v>118</v>
      </c>
      <c r="E118" s="41">
        <v>2406.79</v>
      </c>
      <c r="F118" s="41"/>
      <c r="G118" s="41"/>
      <c r="H118" s="41">
        <v>3138.25</v>
      </c>
      <c r="I118" s="41">
        <v>0</v>
      </c>
      <c r="J118" s="41"/>
    </row>
    <row r="119" spans="1:10" x14ac:dyDescent="0.25">
      <c r="A119" s="35"/>
      <c r="B119" s="36"/>
      <c r="C119" s="10">
        <v>3222</v>
      </c>
      <c r="D119" s="10" t="s">
        <v>119</v>
      </c>
      <c r="E119" s="41">
        <v>3056.65</v>
      </c>
      <c r="F119" s="41"/>
      <c r="G119" s="41"/>
      <c r="H119" s="41">
        <v>1947.77</v>
      </c>
      <c r="I119" s="41">
        <v>0</v>
      </c>
      <c r="J119" s="41"/>
    </row>
    <row r="120" spans="1:10" x14ac:dyDescent="0.25">
      <c r="A120" s="35"/>
      <c r="B120" s="36"/>
      <c r="C120" s="10">
        <v>3225</v>
      </c>
      <c r="D120" s="112" t="s">
        <v>122</v>
      </c>
      <c r="E120" s="41">
        <v>0</v>
      </c>
      <c r="F120" s="41"/>
      <c r="G120" s="41"/>
      <c r="H120" s="41"/>
      <c r="I120" s="41" t="e">
        <f t="shared" si="2"/>
        <v>#DIV/0!</v>
      </c>
      <c r="J120" s="41"/>
    </row>
    <row r="121" spans="1:10" ht="14.25" customHeight="1" x14ac:dyDescent="0.25">
      <c r="A121" s="155" t="s">
        <v>76</v>
      </c>
      <c r="B121" s="156"/>
      <c r="C121" s="157"/>
      <c r="D121" s="23" t="s">
        <v>197</v>
      </c>
      <c r="E121" s="43">
        <f>+E122+E130+E133+E143</f>
        <v>159718.26999999999</v>
      </c>
      <c r="F121" s="43">
        <f>+F122+F130+F133+F143</f>
        <v>41945</v>
      </c>
      <c r="G121" s="43">
        <f>+G122+G130+G133+G143</f>
        <v>59898.3</v>
      </c>
      <c r="H121" s="43">
        <f>+H122+H130+H133+H143</f>
        <v>59843</v>
      </c>
      <c r="I121" s="43">
        <f t="shared" si="2"/>
        <v>37.467848856614836</v>
      </c>
      <c r="J121" s="43">
        <f t="shared" si="14"/>
        <v>99.907676845586607</v>
      </c>
    </row>
    <row r="122" spans="1:10" x14ac:dyDescent="0.25">
      <c r="A122" s="141" t="s">
        <v>181</v>
      </c>
      <c r="B122" s="142"/>
      <c r="C122" s="143"/>
      <c r="D122" s="25" t="s">
        <v>9</v>
      </c>
      <c r="E122" s="42">
        <f>+E125+E123</f>
        <v>11945</v>
      </c>
      <c r="F122" s="42">
        <f>+F125+F123</f>
        <v>11945</v>
      </c>
      <c r="G122" s="42">
        <f>F122</f>
        <v>11945</v>
      </c>
      <c r="H122" s="42">
        <f>+H125+H123</f>
        <v>11945</v>
      </c>
      <c r="I122" s="42">
        <f t="shared" si="2"/>
        <v>100</v>
      </c>
      <c r="J122" s="42">
        <f t="shared" si="14"/>
        <v>100</v>
      </c>
    </row>
    <row r="123" spans="1:10" s="68" customFormat="1" ht="17.25" customHeight="1" x14ac:dyDescent="0.25">
      <c r="A123" s="144">
        <v>41</v>
      </c>
      <c r="B123" s="145"/>
      <c r="C123" s="146"/>
      <c r="D123" s="23" t="s">
        <v>13</v>
      </c>
      <c r="E123" s="43">
        <v>0</v>
      </c>
      <c r="F123" s="43">
        <v>6545</v>
      </c>
      <c r="G123" s="43"/>
      <c r="H123" s="43">
        <f>SUM(H124)</f>
        <v>0</v>
      </c>
      <c r="I123" s="121">
        <v>0</v>
      </c>
      <c r="J123" s="43" t="e">
        <f t="shared" ref="J123" si="30">H123/G123*100</f>
        <v>#DIV/0!</v>
      </c>
    </row>
    <row r="124" spans="1:10" x14ac:dyDescent="0.25">
      <c r="A124" s="35"/>
      <c r="B124" s="36"/>
      <c r="C124" s="37">
        <v>4124</v>
      </c>
      <c r="D124" s="122" t="s">
        <v>165</v>
      </c>
      <c r="E124" s="41">
        <v>0</v>
      </c>
      <c r="F124" s="41"/>
      <c r="G124" s="41"/>
      <c r="H124" s="41"/>
      <c r="I124" s="41" t="e">
        <f t="shared" ref="I124" si="31">H124/E124*100</f>
        <v>#DIV/0!</v>
      </c>
      <c r="J124" s="41"/>
    </row>
    <row r="125" spans="1:10" s="68" customFormat="1" x14ac:dyDescent="0.25">
      <c r="A125" s="144">
        <v>42</v>
      </c>
      <c r="B125" s="145"/>
      <c r="C125" s="146"/>
      <c r="D125" s="23" t="s">
        <v>31</v>
      </c>
      <c r="E125" s="43">
        <f>SUM(E126:E129)</f>
        <v>11945</v>
      </c>
      <c r="F125" s="43">
        <v>5400</v>
      </c>
      <c r="G125" s="43">
        <v>11945</v>
      </c>
      <c r="H125" s="43">
        <f>SUM(H126:H129)</f>
        <v>11945</v>
      </c>
      <c r="I125" s="121">
        <f>H125/E125*100</f>
        <v>100</v>
      </c>
      <c r="J125" s="121">
        <f>H125/G125*100</f>
        <v>100</v>
      </c>
    </row>
    <row r="126" spans="1:10" x14ac:dyDescent="0.25">
      <c r="A126" s="35"/>
      <c r="B126" s="36"/>
      <c r="C126" s="37">
        <v>4221</v>
      </c>
      <c r="D126" s="22" t="s">
        <v>154</v>
      </c>
      <c r="E126" s="41">
        <v>0</v>
      </c>
      <c r="F126" s="41"/>
      <c r="G126" s="41"/>
      <c r="H126" s="41"/>
      <c r="I126" s="41" t="e">
        <f t="shared" ref="I126:I129" si="32">H126/E126*100</f>
        <v>#DIV/0!</v>
      </c>
      <c r="J126" s="41"/>
    </row>
    <row r="127" spans="1:10" x14ac:dyDescent="0.25">
      <c r="A127" s="35"/>
      <c r="B127" s="36"/>
      <c r="C127" s="37">
        <v>4223</v>
      </c>
      <c r="D127" s="22" t="s">
        <v>156</v>
      </c>
      <c r="E127" s="41">
        <v>0</v>
      </c>
      <c r="F127" s="41"/>
      <c r="G127" s="41"/>
      <c r="H127" s="41"/>
      <c r="I127" s="41" t="e">
        <f t="shared" si="32"/>
        <v>#DIV/0!</v>
      </c>
      <c r="J127" s="42"/>
    </row>
    <row r="128" spans="1:10" x14ac:dyDescent="0.25">
      <c r="A128" s="35"/>
      <c r="B128" s="36"/>
      <c r="C128" s="37">
        <v>4224</v>
      </c>
      <c r="D128" s="22" t="s">
        <v>157</v>
      </c>
      <c r="E128" s="41">
        <v>11945</v>
      </c>
      <c r="F128" s="41"/>
      <c r="G128" s="41"/>
      <c r="H128" s="41">
        <v>0</v>
      </c>
      <c r="I128" s="41">
        <f t="shared" si="32"/>
        <v>0</v>
      </c>
      <c r="J128" s="41"/>
    </row>
    <row r="129" spans="1:10" x14ac:dyDescent="0.25">
      <c r="A129" s="35"/>
      <c r="B129" s="36"/>
      <c r="C129" s="37">
        <v>4227</v>
      </c>
      <c r="D129" s="22" t="s">
        <v>160</v>
      </c>
      <c r="E129" s="41">
        <v>0</v>
      </c>
      <c r="F129" s="41"/>
      <c r="G129" s="41"/>
      <c r="H129" s="41">
        <v>11945</v>
      </c>
      <c r="I129" s="41" t="e">
        <f t="shared" si="32"/>
        <v>#DIV/0!</v>
      </c>
      <c r="J129" s="42"/>
    </row>
    <row r="130" spans="1:10" x14ac:dyDescent="0.25">
      <c r="A130" s="141" t="s">
        <v>182</v>
      </c>
      <c r="B130" s="142"/>
      <c r="C130" s="143"/>
      <c r="D130" s="25" t="s">
        <v>183</v>
      </c>
      <c r="E130" s="42">
        <f>+E131</f>
        <v>122500</v>
      </c>
      <c r="F130" s="42">
        <f t="shared" ref="F130:H130" si="33">+F131</f>
        <v>30000</v>
      </c>
      <c r="G130" s="42">
        <f t="shared" si="33"/>
        <v>30000</v>
      </c>
      <c r="H130" s="42">
        <f t="shared" si="33"/>
        <v>30000</v>
      </c>
      <c r="I130" s="42">
        <v>0</v>
      </c>
      <c r="J130" s="42">
        <f t="shared" ref="J130" si="34">H130/G130*100</f>
        <v>100</v>
      </c>
    </row>
    <row r="131" spans="1:10" s="68" customFormat="1" ht="17.25" customHeight="1" x14ac:dyDescent="0.25">
      <c r="A131" s="144">
        <v>41</v>
      </c>
      <c r="B131" s="145"/>
      <c r="C131" s="146"/>
      <c r="D131" s="23" t="s">
        <v>13</v>
      </c>
      <c r="E131" s="43">
        <f>SUM(E132)</f>
        <v>122500</v>
      </c>
      <c r="F131" s="43">
        <v>30000</v>
      </c>
      <c r="G131" s="43">
        <v>30000</v>
      </c>
      <c r="H131" s="43">
        <f t="shared" ref="H131" si="35">SUM(H132)</f>
        <v>30000</v>
      </c>
      <c r="I131" s="121">
        <v>0</v>
      </c>
      <c r="J131" s="43">
        <f t="shared" si="14"/>
        <v>100</v>
      </c>
    </row>
    <row r="132" spans="1:10" x14ac:dyDescent="0.25">
      <c r="A132" s="35"/>
      <c r="B132" s="36"/>
      <c r="C132" s="37">
        <v>4124</v>
      </c>
      <c r="D132" s="122" t="s">
        <v>165</v>
      </c>
      <c r="E132" s="41">
        <v>122500</v>
      </c>
      <c r="F132" s="41"/>
      <c r="G132" s="41"/>
      <c r="H132" s="41">
        <v>30000</v>
      </c>
      <c r="I132" s="41">
        <f t="shared" si="2"/>
        <v>24.489795918367346</v>
      </c>
      <c r="J132" s="41"/>
    </row>
    <row r="133" spans="1:10" ht="15" customHeight="1" x14ac:dyDescent="0.25">
      <c r="A133" s="141" t="s">
        <v>189</v>
      </c>
      <c r="B133" s="142"/>
      <c r="C133" s="143"/>
      <c r="D133" s="25" t="s">
        <v>190</v>
      </c>
      <c r="E133" s="42">
        <f>+E134+E136</f>
        <v>15140.749999999998</v>
      </c>
      <c r="F133" s="42">
        <f t="shared" ref="F133:G133" si="36">+F134+F136</f>
        <v>0</v>
      </c>
      <c r="G133" s="42">
        <f t="shared" si="36"/>
        <v>17953.3</v>
      </c>
      <c r="H133" s="42">
        <f>+H134+H136</f>
        <v>17898</v>
      </c>
      <c r="I133" s="42">
        <f t="shared" si="2"/>
        <v>118.21078876541785</v>
      </c>
      <c r="J133" s="42">
        <v>0</v>
      </c>
    </row>
    <row r="134" spans="1:10" s="68" customFormat="1" ht="16.5" customHeight="1" x14ac:dyDescent="0.25">
      <c r="A134" s="144">
        <v>41</v>
      </c>
      <c r="B134" s="145"/>
      <c r="C134" s="146"/>
      <c r="D134" s="19" t="s">
        <v>13</v>
      </c>
      <c r="E134" s="43">
        <f>+E135</f>
        <v>212.8</v>
      </c>
      <c r="F134" s="43">
        <v>0</v>
      </c>
      <c r="G134" s="43">
        <v>4463.55</v>
      </c>
      <c r="H134" s="43">
        <f>SUM(H135)</f>
        <v>4408.25</v>
      </c>
      <c r="I134" s="121">
        <f t="shared" si="2"/>
        <v>2071.5460526315787</v>
      </c>
      <c r="J134" s="43">
        <v>0</v>
      </c>
    </row>
    <row r="135" spans="1:10" x14ac:dyDescent="0.25">
      <c r="A135" s="35"/>
      <c r="B135" s="36"/>
      <c r="C135" s="37">
        <v>4124</v>
      </c>
      <c r="D135" s="122" t="s">
        <v>165</v>
      </c>
      <c r="E135" s="41">
        <v>212.8</v>
      </c>
      <c r="F135" s="41"/>
      <c r="G135" s="41"/>
      <c r="H135" s="41">
        <v>4408.25</v>
      </c>
      <c r="I135" s="41">
        <f t="shared" si="2"/>
        <v>2071.5460526315787</v>
      </c>
      <c r="J135" s="41"/>
    </row>
    <row r="136" spans="1:10" s="68" customFormat="1" x14ac:dyDescent="0.25">
      <c r="A136" s="144">
        <v>42</v>
      </c>
      <c r="B136" s="145"/>
      <c r="C136" s="146"/>
      <c r="D136" s="23" t="s">
        <v>31</v>
      </c>
      <c r="E136" s="43">
        <f>SUM(E137:E142)</f>
        <v>14927.949999999999</v>
      </c>
      <c r="F136" s="81">
        <v>0</v>
      </c>
      <c r="G136" s="81">
        <v>13489.75</v>
      </c>
      <c r="H136" s="81">
        <f>SUM(H137:H142)</f>
        <v>13489.75</v>
      </c>
      <c r="I136" s="43">
        <f t="shared" si="2"/>
        <v>90.365723357862265</v>
      </c>
      <c r="J136" s="43">
        <v>0</v>
      </c>
    </row>
    <row r="137" spans="1:10" x14ac:dyDescent="0.25">
      <c r="A137" s="35"/>
      <c r="B137" s="36"/>
      <c r="C137" s="124">
        <v>4221</v>
      </c>
      <c r="D137" s="22" t="s">
        <v>154</v>
      </c>
      <c r="E137" s="41">
        <v>39.979999999999997</v>
      </c>
      <c r="F137" s="41"/>
      <c r="G137" s="41"/>
      <c r="H137" s="41"/>
      <c r="I137" s="41">
        <f t="shared" ref="I137:I142" si="37">H137/E137*100</f>
        <v>0</v>
      </c>
      <c r="J137" s="41"/>
    </row>
    <row r="138" spans="1:10" x14ac:dyDescent="0.25">
      <c r="A138" s="35"/>
      <c r="B138" s="36"/>
      <c r="C138" s="124">
        <v>4222</v>
      </c>
      <c r="D138" s="22" t="s">
        <v>155</v>
      </c>
      <c r="E138" s="123">
        <v>788.15</v>
      </c>
      <c r="F138" s="123"/>
      <c r="G138" s="123"/>
      <c r="H138" s="123"/>
      <c r="I138" s="41">
        <f t="shared" si="37"/>
        <v>0</v>
      </c>
      <c r="J138" s="41"/>
    </row>
    <row r="139" spans="1:10" x14ac:dyDescent="0.25">
      <c r="A139" s="35"/>
      <c r="B139" s="36"/>
      <c r="C139" s="124">
        <v>4223</v>
      </c>
      <c r="D139" s="22" t="s">
        <v>156</v>
      </c>
      <c r="E139" s="41">
        <v>0</v>
      </c>
      <c r="F139" s="41"/>
      <c r="G139" s="41"/>
      <c r="H139" s="41"/>
      <c r="I139" s="41" t="e">
        <f t="shared" si="37"/>
        <v>#DIV/0!</v>
      </c>
      <c r="J139" s="42"/>
    </row>
    <row r="140" spans="1:10" x14ac:dyDescent="0.25">
      <c r="A140" s="35"/>
      <c r="B140" s="36"/>
      <c r="C140" s="124">
        <v>4224</v>
      </c>
      <c r="D140" s="22" t="s">
        <v>157</v>
      </c>
      <c r="E140" s="41">
        <v>14009.83</v>
      </c>
      <c r="F140" s="41"/>
      <c r="G140" s="41"/>
      <c r="H140" s="41">
        <v>12836.25</v>
      </c>
      <c r="I140" s="41">
        <f t="shared" si="37"/>
        <v>91.623167447427988</v>
      </c>
      <c r="J140" s="41"/>
    </row>
    <row r="141" spans="1:10" x14ac:dyDescent="0.25">
      <c r="A141" s="35"/>
      <c r="B141" s="36"/>
      <c r="C141" s="124">
        <v>4225</v>
      </c>
      <c r="D141" s="22" t="s">
        <v>158</v>
      </c>
      <c r="E141" s="41">
        <v>0</v>
      </c>
      <c r="F141" s="41"/>
      <c r="G141" s="41"/>
      <c r="H141" s="41"/>
      <c r="I141" s="41" t="e">
        <f t="shared" si="37"/>
        <v>#DIV/0!</v>
      </c>
      <c r="J141" s="42"/>
    </row>
    <row r="142" spans="1:10" x14ac:dyDescent="0.25">
      <c r="A142" s="35"/>
      <c r="B142" s="36"/>
      <c r="C142" s="124">
        <v>4227</v>
      </c>
      <c r="D142" s="22" t="s">
        <v>160</v>
      </c>
      <c r="E142" s="123">
        <v>89.99</v>
      </c>
      <c r="F142" s="123"/>
      <c r="G142" s="123"/>
      <c r="H142" s="123">
        <v>653.5</v>
      </c>
      <c r="I142" s="41">
        <f t="shared" si="37"/>
        <v>726.19179908878766</v>
      </c>
      <c r="J142" s="41"/>
    </row>
    <row r="143" spans="1:10" ht="15" customHeight="1" x14ac:dyDescent="0.25">
      <c r="A143" s="141" t="s">
        <v>191</v>
      </c>
      <c r="B143" s="142"/>
      <c r="C143" s="143"/>
      <c r="D143" s="25" t="s">
        <v>192</v>
      </c>
      <c r="E143" s="42">
        <f t="shared" ref="E143:H143" si="38">+E144</f>
        <v>10132.52</v>
      </c>
      <c r="F143" s="42">
        <f t="shared" si="38"/>
        <v>0</v>
      </c>
      <c r="G143" s="42">
        <f t="shared" si="38"/>
        <v>0</v>
      </c>
      <c r="H143" s="42">
        <f t="shared" si="38"/>
        <v>0</v>
      </c>
      <c r="I143" s="42">
        <f t="shared" ref="I143" si="39">H143/E143*100</f>
        <v>0</v>
      </c>
      <c r="J143" s="42">
        <v>0</v>
      </c>
    </row>
    <row r="144" spans="1:10" s="68" customFormat="1" x14ac:dyDescent="0.25">
      <c r="A144" s="144">
        <v>42</v>
      </c>
      <c r="B144" s="145"/>
      <c r="C144" s="146"/>
      <c r="D144" s="23" t="s">
        <v>31</v>
      </c>
      <c r="E144" s="43">
        <f>SUM(E145:E147)</f>
        <v>10132.52</v>
      </c>
      <c r="F144" s="43">
        <f t="shared" ref="F144:H144" si="40">SUM(F145:F147)</f>
        <v>0</v>
      </c>
      <c r="G144" s="43">
        <f t="shared" si="40"/>
        <v>0</v>
      </c>
      <c r="H144" s="43">
        <f t="shared" si="40"/>
        <v>0</v>
      </c>
      <c r="I144" s="43">
        <f t="shared" ref="I144" si="41">H144/E144*100</f>
        <v>0</v>
      </c>
      <c r="J144" s="43">
        <v>0</v>
      </c>
    </row>
    <row r="145" spans="1:14" x14ac:dyDescent="0.25">
      <c r="A145" s="35"/>
      <c r="B145" s="36"/>
      <c r="C145" s="124">
        <v>4222</v>
      </c>
      <c r="D145" s="22" t="s">
        <v>155</v>
      </c>
      <c r="E145" s="123">
        <v>849</v>
      </c>
      <c r="F145" s="123"/>
      <c r="G145" s="123"/>
      <c r="H145" s="123"/>
      <c r="I145" s="41">
        <f>H145/E145*100</f>
        <v>0</v>
      </c>
      <c r="J145" s="41"/>
    </row>
    <row r="146" spans="1:14" x14ac:dyDescent="0.25">
      <c r="A146" s="35"/>
      <c r="B146" s="36"/>
      <c r="C146" s="124">
        <v>4224</v>
      </c>
      <c r="D146" s="22" t="s">
        <v>157</v>
      </c>
      <c r="E146" s="41">
        <v>2400</v>
      </c>
      <c r="F146" s="41"/>
      <c r="G146" s="41"/>
      <c r="H146" s="41"/>
      <c r="I146" s="41" t="s">
        <v>87</v>
      </c>
      <c r="J146" s="41"/>
    </row>
    <row r="147" spans="1:14" x14ac:dyDescent="0.25">
      <c r="A147" s="35"/>
      <c r="B147" s="36"/>
      <c r="C147" s="124">
        <v>4227</v>
      </c>
      <c r="D147" s="22" t="s">
        <v>160</v>
      </c>
      <c r="E147" s="123">
        <v>6883.52</v>
      </c>
      <c r="F147" s="123"/>
      <c r="G147" s="123"/>
      <c r="H147" s="123"/>
      <c r="I147" s="41" t="s">
        <v>87</v>
      </c>
      <c r="J147" s="41"/>
    </row>
    <row r="148" spans="1:14" ht="14.25" customHeight="1" x14ac:dyDescent="0.25">
      <c r="A148" s="155" t="s">
        <v>78</v>
      </c>
      <c r="B148" s="156"/>
      <c r="C148" s="157"/>
      <c r="D148" s="23" t="s">
        <v>79</v>
      </c>
      <c r="E148" s="43">
        <f>+E149</f>
        <v>19908</v>
      </c>
      <c r="F148" s="43">
        <f t="shared" ref="F148:H148" si="42">+F149</f>
        <v>19908</v>
      </c>
      <c r="G148" s="43">
        <f t="shared" si="42"/>
        <v>19908</v>
      </c>
      <c r="H148" s="43">
        <f t="shared" si="42"/>
        <v>19908</v>
      </c>
      <c r="I148" s="43">
        <f t="shared" si="2"/>
        <v>100</v>
      </c>
      <c r="J148" s="43">
        <f t="shared" si="14"/>
        <v>100</v>
      </c>
    </row>
    <row r="149" spans="1:14" ht="15" customHeight="1" x14ac:dyDescent="0.25">
      <c r="A149" s="141" t="s">
        <v>181</v>
      </c>
      <c r="B149" s="142"/>
      <c r="C149" s="143"/>
      <c r="D149" s="25" t="s">
        <v>9</v>
      </c>
      <c r="E149" s="42">
        <f>+E152+E154</f>
        <v>19908</v>
      </c>
      <c r="F149" s="42">
        <f>+F152+F154+F150</f>
        <v>19908</v>
      </c>
      <c r="G149" s="42">
        <f>+G152+G154+G150</f>
        <v>19908</v>
      </c>
      <c r="H149" s="42">
        <f>+H152+H154+H150</f>
        <v>19908</v>
      </c>
      <c r="I149" s="42">
        <f t="shared" si="2"/>
        <v>100</v>
      </c>
      <c r="J149" s="42">
        <f t="shared" si="14"/>
        <v>100</v>
      </c>
      <c r="N149" s="38"/>
    </row>
    <row r="150" spans="1:14" s="68" customFormat="1" x14ac:dyDescent="0.25">
      <c r="A150" s="120">
        <v>32</v>
      </c>
      <c r="B150" s="115"/>
      <c r="C150" s="116"/>
      <c r="D150" s="23" t="s">
        <v>23</v>
      </c>
      <c r="E150" s="43">
        <f>SUM(E151)</f>
        <v>0</v>
      </c>
      <c r="F150" s="43">
        <f>SUM(F151)</f>
        <v>0</v>
      </c>
      <c r="G150" s="43">
        <v>1944.7</v>
      </c>
      <c r="H150" s="43">
        <f>SUM(H151)</f>
        <v>1944.7</v>
      </c>
      <c r="I150" s="43" t="e">
        <f t="shared" si="2"/>
        <v>#DIV/0!</v>
      </c>
      <c r="J150" s="43"/>
    </row>
    <row r="151" spans="1:14" x14ac:dyDescent="0.25">
      <c r="A151" s="35"/>
      <c r="B151" s="36"/>
      <c r="C151" s="10">
        <v>3232</v>
      </c>
      <c r="D151" s="10" t="s">
        <v>126</v>
      </c>
      <c r="E151" s="41">
        <v>0</v>
      </c>
      <c r="F151" s="41">
        <v>0</v>
      </c>
      <c r="G151" s="41">
        <v>0</v>
      </c>
      <c r="H151" s="41">
        <v>1944.7</v>
      </c>
      <c r="I151" s="41" t="e">
        <f t="shared" ref="I151" si="43">H151/E151*100</f>
        <v>#DIV/0!</v>
      </c>
      <c r="J151" s="41"/>
    </row>
    <row r="152" spans="1:14" s="68" customFormat="1" ht="25.5" x14ac:dyDescent="0.25">
      <c r="A152" s="144">
        <v>41</v>
      </c>
      <c r="B152" s="145"/>
      <c r="C152" s="146"/>
      <c r="D152" s="19" t="s">
        <v>13</v>
      </c>
      <c r="E152" s="43">
        <f>SUM(E153)</f>
        <v>0</v>
      </c>
      <c r="F152" s="43">
        <v>0</v>
      </c>
      <c r="G152" s="43">
        <v>0</v>
      </c>
      <c r="H152" s="43">
        <v>0</v>
      </c>
      <c r="I152" s="43" t="e">
        <f t="shared" si="2"/>
        <v>#DIV/0!</v>
      </c>
      <c r="J152" s="43" t="s">
        <v>87</v>
      </c>
    </row>
    <row r="153" spans="1:14" x14ac:dyDescent="0.25">
      <c r="A153" s="35"/>
      <c r="B153" s="36"/>
      <c r="C153" s="37">
        <v>4123</v>
      </c>
      <c r="D153" s="122" t="s">
        <v>164</v>
      </c>
      <c r="E153" s="41">
        <v>0</v>
      </c>
      <c r="F153" s="41"/>
      <c r="G153" s="41"/>
      <c r="H153" s="41"/>
      <c r="I153" s="41"/>
      <c r="J153" s="41"/>
    </row>
    <row r="154" spans="1:14" s="68" customFormat="1" x14ac:dyDescent="0.25">
      <c r="A154" s="144">
        <v>42</v>
      </c>
      <c r="B154" s="145"/>
      <c r="C154" s="146"/>
      <c r="D154" s="23" t="s">
        <v>31</v>
      </c>
      <c r="E154" s="43">
        <f>SUM(E155:E162)</f>
        <v>19908</v>
      </c>
      <c r="F154" s="43">
        <v>19908</v>
      </c>
      <c r="G154" s="43">
        <v>17963.3</v>
      </c>
      <c r="H154" s="43">
        <f>SUM(H155:H162)</f>
        <v>17963.3</v>
      </c>
      <c r="I154" s="43">
        <f t="shared" si="2"/>
        <v>90.231565199919629</v>
      </c>
      <c r="J154" s="43">
        <f t="shared" si="14"/>
        <v>100</v>
      </c>
    </row>
    <row r="155" spans="1:14" x14ac:dyDescent="0.25">
      <c r="A155" s="35"/>
      <c r="B155" s="36"/>
      <c r="C155" s="124">
        <v>4221</v>
      </c>
      <c r="D155" s="22" t="s">
        <v>154</v>
      </c>
      <c r="E155" s="41">
        <v>3905.1</v>
      </c>
      <c r="F155" s="41"/>
      <c r="G155" s="41"/>
      <c r="H155" s="41">
        <v>1237.5</v>
      </c>
      <c r="I155" s="41">
        <f t="shared" si="2"/>
        <v>31.689329338557272</v>
      </c>
      <c r="J155" s="41"/>
    </row>
    <row r="156" spans="1:14" x14ac:dyDescent="0.25">
      <c r="A156" s="35"/>
      <c r="B156" s="36"/>
      <c r="C156" s="124">
        <v>4222</v>
      </c>
      <c r="D156" s="22" t="s">
        <v>155</v>
      </c>
      <c r="E156" s="41">
        <v>279.98</v>
      </c>
      <c r="F156" s="41"/>
      <c r="G156" s="41"/>
      <c r="H156" s="41">
        <v>504.1</v>
      </c>
      <c r="I156" s="41">
        <f t="shared" si="2"/>
        <v>180.04857489820699</v>
      </c>
      <c r="J156" s="41"/>
    </row>
    <row r="157" spans="1:14" x14ac:dyDescent="0.25">
      <c r="A157" s="35"/>
      <c r="B157" s="36"/>
      <c r="C157" s="124">
        <v>4223</v>
      </c>
      <c r="D157" s="22" t="s">
        <v>156</v>
      </c>
      <c r="E157" s="41">
        <v>0</v>
      </c>
      <c r="F157" s="41"/>
      <c r="G157" s="41"/>
      <c r="H157" s="41"/>
      <c r="I157" s="41" t="e">
        <f t="shared" si="2"/>
        <v>#DIV/0!</v>
      </c>
      <c r="J157" s="41"/>
    </row>
    <row r="158" spans="1:14" x14ac:dyDescent="0.25">
      <c r="A158" s="35"/>
      <c r="B158" s="36"/>
      <c r="C158" s="124">
        <v>4224</v>
      </c>
      <c r="D158" s="22" t="s">
        <v>157</v>
      </c>
      <c r="E158" s="41">
        <v>0</v>
      </c>
      <c r="F158" s="41"/>
      <c r="G158" s="41"/>
      <c r="H158" s="41">
        <f>28166.7-11945</f>
        <v>16221.7</v>
      </c>
      <c r="I158" s="41" t="e">
        <f t="shared" si="2"/>
        <v>#DIV/0!</v>
      </c>
      <c r="J158" s="41"/>
      <c r="N158" s="38"/>
    </row>
    <row r="159" spans="1:14" x14ac:dyDescent="0.25">
      <c r="A159" s="35"/>
      <c r="B159" s="36"/>
      <c r="C159" s="124">
        <v>4225</v>
      </c>
      <c r="D159" s="22" t="s">
        <v>158</v>
      </c>
      <c r="E159" s="41">
        <v>575</v>
      </c>
      <c r="F159" s="41"/>
      <c r="G159" s="41"/>
      <c r="H159" s="41"/>
      <c r="I159" s="41">
        <f t="shared" si="2"/>
        <v>0</v>
      </c>
      <c r="J159" s="41"/>
    </row>
    <row r="160" spans="1:14" x14ac:dyDescent="0.25">
      <c r="A160" s="35"/>
      <c r="B160" s="36"/>
      <c r="C160" s="124">
        <v>4226</v>
      </c>
      <c r="D160" s="22" t="s">
        <v>159</v>
      </c>
      <c r="E160" s="41">
        <v>0</v>
      </c>
      <c r="F160" s="41"/>
      <c r="G160" s="41"/>
      <c r="H160" s="41"/>
      <c r="I160" s="41" t="e">
        <f t="shared" si="2"/>
        <v>#DIV/0!</v>
      </c>
      <c r="J160" s="41"/>
      <c r="N160" s="38"/>
    </row>
    <row r="161" spans="1:10" x14ac:dyDescent="0.25">
      <c r="A161" s="35"/>
      <c r="B161" s="36"/>
      <c r="C161" s="124">
        <v>4227</v>
      </c>
      <c r="D161" s="22" t="s">
        <v>160</v>
      </c>
      <c r="E161" s="41">
        <v>8626.6200000000008</v>
      </c>
      <c r="F161" s="41"/>
      <c r="G161" s="41"/>
      <c r="H161" s="41"/>
      <c r="I161" s="41">
        <f t="shared" si="2"/>
        <v>0</v>
      </c>
      <c r="J161" s="41"/>
    </row>
    <row r="162" spans="1:10" x14ac:dyDescent="0.25">
      <c r="A162" s="35"/>
      <c r="B162" s="36"/>
      <c r="C162" s="124">
        <v>4262</v>
      </c>
      <c r="D162" s="22" t="s">
        <v>198</v>
      </c>
      <c r="E162" s="41">
        <v>6521.3</v>
      </c>
      <c r="F162" s="41"/>
      <c r="G162" s="41"/>
      <c r="H162" s="41"/>
      <c r="I162" s="41">
        <f>H162/E162*100</f>
        <v>0</v>
      </c>
      <c r="J162" s="41"/>
    </row>
    <row r="163" spans="1:10" x14ac:dyDescent="0.25">
      <c r="A163" s="155" t="s">
        <v>80</v>
      </c>
      <c r="B163" s="156"/>
      <c r="C163" s="157"/>
      <c r="D163" s="23" t="s">
        <v>81</v>
      </c>
      <c r="E163" s="43">
        <f>SUM(E164)</f>
        <v>6266.68</v>
      </c>
      <c r="F163" s="43">
        <f>SUM(F164)</f>
        <v>6269.17</v>
      </c>
      <c r="G163" s="43">
        <f t="shared" ref="G163:G164" si="44">SUM(G164)</f>
        <v>6269.17</v>
      </c>
      <c r="H163" s="43">
        <f t="shared" ref="H163" si="45">SUM(H164)</f>
        <v>5575.55</v>
      </c>
      <c r="I163" s="43">
        <f t="shared" si="2"/>
        <v>88.971353252439883</v>
      </c>
      <c r="J163" s="43">
        <f t="shared" si="14"/>
        <v>88.936015453401325</v>
      </c>
    </row>
    <row r="164" spans="1:10" ht="15" customHeight="1" x14ac:dyDescent="0.25">
      <c r="A164" s="141" t="s">
        <v>182</v>
      </c>
      <c r="B164" s="142"/>
      <c r="C164" s="143"/>
      <c r="D164" s="25" t="s">
        <v>183</v>
      </c>
      <c r="E164" s="42">
        <f t="shared" ref="E164" si="46">SUM(E165)</f>
        <v>6266.68</v>
      </c>
      <c r="F164" s="42">
        <f>SUM(F165)</f>
        <v>6269.17</v>
      </c>
      <c r="G164" s="42">
        <f t="shared" si="44"/>
        <v>6269.17</v>
      </c>
      <c r="H164" s="42">
        <f>SUM(H165)</f>
        <v>5575.55</v>
      </c>
      <c r="I164" s="42">
        <f t="shared" si="2"/>
        <v>88.971353252439883</v>
      </c>
      <c r="J164" s="42">
        <f>H164/G164*100</f>
        <v>88.936015453401325</v>
      </c>
    </row>
    <row r="165" spans="1:10" s="68" customFormat="1" x14ac:dyDescent="0.25">
      <c r="A165" s="144">
        <v>32</v>
      </c>
      <c r="B165" s="145"/>
      <c r="C165" s="146"/>
      <c r="D165" s="23" t="s">
        <v>23</v>
      </c>
      <c r="E165" s="43">
        <f t="shared" ref="E165" si="47">SUM(E166)</f>
        <v>6266.68</v>
      </c>
      <c r="F165" s="43">
        <v>6269.17</v>
      </c>
      <c r="G165" s="43">
        <f>F165</f>
        <v>6269.17</v>
      </c>
      <c r="H165" s="43">
        <f>SUM(H166)</f>
        <v>5575.55</v>
      </c>
      <c r="I165" s="43">
        <f t="shared" si="2"/>
        <v>88.971353252439883</v>
      </c>
      <c r="J165" s="43">
        <f t="shared" si="14"/>
        <v>88.936015453401325</v>
      </c>
    </row>
    <row r="166" spans="1:10" ht="13.5" customHeight="1" x14ac:dyDescent="0.25">
      <c r="A166" s="35"/>
      <c r="B166" s="36"/>
      <c r="C166" s="37">
        <v>3291</v>
      </c>
      <c r="D166" s="22" t="s">
        <v>196</v>
      </c>
      <c r="E166" s="41">
        <v>6266.68</v>
      </c>
      <c r="F166" s="41"/>
      <c r="G166" s="41"/>
      <c r="H166" s="41">
        <v>5575.55</v>
      </c>
      <c r="I166" s="41">
        <f t="shared" si="2"/>
        <v>88.971353252439883</v>
      </c>
      <c r="J166" s="41"/>
    </row>
    <row r="167" spans="1:10" ht="27.75" customHeight="1" x14ac:dyDescent="0.25">
      <c r="A167" s="155" t="s">
        <v>82</v>
      </c>
      <c r="B167" s="156"/>
      <c r="C167" s="157"/>
      <c r="D167" s="23" t="s">
        <v>83</v>
      </c>
      <c r="E167" s="43">
        <f>SUM(E168)</f>
        <v>3144.77</v>
      </c>
      <c r="F167" s="43">
        <f t="shared" ref="F167:F168" si="48">SUM(F168)</f>
        <v>1000</v>
      </c>
      <c r="G167" s="43">
        <f t="shared" ref="G167:G168" si="49">SUM(G168)</f>
        <v>0</v>
      </c>
      <c r="H167" s="43">
        <f t="shared" ref="H167" si="50">SUM(H168)</f>
        <v>0</v>
      </c>
      <c r="I167" s="43">
        <f t="shared" si="2"/>
        <v>0</v>
      </c>
      <c r="J167" s="43" t="e">
        <f t="shared" si="14"/>
        <v>#DIV/0!</v>
      </c>
    </row>
    <row r="168" spans="1:10" ht="15" customHeight="1" x14ac:dyDescent="0.25">
      <c r="A168" s="141" t="s">
        <v>191</v>
      </c>
      <c r="B168" s="142"/>
      <c r="C168" s="143"/>
      <c r="D168" s="25" t="s">
        <v>192</v>
      </c>
      <c r="E168" s="42">
        <f t="shared" ref="E168" si="51">SUM(E169)</f>
        <v>3144.77</v>
      </c>
      <c r="F168" s="42">
        <f t="shared" si="48"/>
        <v>1000</v>
      </c>
      <c r="G168" s="42">
        <f t="shared" si="49"/>
        <v>0</v>
      </c>
      <c r="H168" s="42">
        <f>SUM(H169)</f>
        <v>0</v>
      </c>
      <c r="I168" s="42">
        <f t="shared" si="2"/>
        <v>0</v>
      </c>
      <c r="J168" s="42" t="e">
        <f t="shared" si="14"/>
        <v>#DIV/0!</v>
      </c>
    </row>
    <row r="169" spans="1:10" s="68" customFormat="1" x14ac:dyDescent="0.25">
      <c r="A169" s="144">
        <v>32</v>
      </c>
      <c r="B169" s="145"/>
      <c r="C169" s="146"/>
      <c r="D169" s="23" t="s">
        <v>23</v>
      </c>
      <c r="E169" s="43">
        <f>SUM(E170)</f>
        <v>3144.77</v>
      </c>
      <c r="F169" s="43">
        <v>1000</v>
      </c>
      <c r="G169" s="43">
        <v>0</v>
      </c>
      <c r="H169" s="43">
        <f>SUM(H170)</f>
        <v>0</v>
      </c>
      <c r="I169" s="43">
        <f t="shared" si="2"/>
        <v>0</v>
      </c>
      <c r="J169" s="43" t="e">
        <f t="shared" si="14"/>
        <v>#DIV/0!</v>
      </c>
    </row>
    <row r="170" spans="1:10" x14ac:dyDescent="0.25">
      <c r="A170" s="35"/>
      <c r="B170" s="37"/>
      <c r="C170" s="10">
        <v>3222</v>
      </c>
      <c r="D170" s="10" t="s">
        <v>119</v>
      </c>
      <c r="E170" s="41">
        <v>3144.77</v>
      </c>
      <c r="F170" s="41"/>
      <c r="G170" s="41"/>
      <c r="H170" s="41">
        <v>0</v>
      </c>
      <c r="I170" s="41">
        <f t="shared" si="2"/>
        <v>0</v>
      </c>
      <c r="J170" s="41"/>
    </row>
    <row r="172" spans="1:10" x14ac:dyDescent="0.25">
      <c r="E172" s="38"/>
    </row>
    <row r="173" spans="1:10" x14ac:dyDescent="0.25">
      <c r="E173" s="38"/>
    </row>
  </sheetData>
  <protectedRanges>
    <protectedRange algorithmName="SHA-512" hashValue="R8frfBQ/MhInQYm+jLEgMwgPwCkrGPIUaxyIFLRSCn/+fIsUU6bmJDax/r7gTh2PEAEvgODYwg0rRRjqSM/oww==" saltValue="tbZzHO5lCNHCDH5y3XGZag==" spinCount="100000" sqref="H11 H41 H69" name="Range1_1_3_2"/>
    <protectedRange algorithmName="SHA-512" hashValue="R8frfBQ/MhInQYm+jLEgMwgPwCkrGPIUaxyIFLRSCn/+fIsUU6bmJDax/r7gTh2PEAEvgODYwg0rRRjqSM/oww==" saltValue="tbZzHO5lCNHCDH5y3XGZag==" spinCount="100000" sqref="E41" name="Range1_1_3_2_1"/>
    <protectedRange algorithmName="SHA-512" hashValue="R8frfBQ/MhInQYm+jLEgMwgPwCkrGPIUaxyIFLRSCn/+fIsUU6bmJDax/r7gTh2PEAEvgODYwg0rRRjqSM/oww==" saltValue="tbZzHO5lCNHCDH5y3XGZag==" spinCount="100000" sqref="E69" name="Range1_1_3_2_2"/>
  </protectedRanges>
  <mergeCells count="35">
    <mergeCell ref="A169:C169"/>
    <mergeCell ref="A130:C130"/>
    <mergeCell ref="A167:C167"/>
    <mergeCell ref="A168:C168"/>
    <mergeCell ref="A163:C163"/>
    <mergeCell ref="A164:C164"/>
    <mergeCell ref="A165:C165"/>
    <mergeCell ref="A117:C117"/>
    <mergeCell ref="A149:C149"/>
    <mergeCell ref="A152:C152"/>
    <mergeCell ref="A154:C154"/>
    <mergeCell ref="A133:C133"/>
    <mergeCell ref="A134:C134"/>
    <mergeCell ref="A148:C148"/>
    <mergeCell ref="A136:C136"/>
    <mergeCell ref="A121:C121"/>
    <mergeCell ref="A122:C122"/>
    <mergeCell ref="A131:C131"/>
    <mergeCell ref="A123:C123"/>
    <mergeCell ref="A66:C66"/>
    <mergeCell ref="A143:C143"/>
    <mergeCell ref="A144:C144"/>
    <mergeCell ref="A1:J1"/>
    <mergeCell ref="A2:J2"/>
    <mergeCell ref="A38:C38"/>
    <mergeCell ref="A5:D5"/>
    <mergeCell ref="A4:C4"/>
    <mergeCell ref="A6:C6"/>
    <mergeCell ref="A7:C7"/>
    <mergeCell ref="A8:C8"/>
    <mergeCell ref="A110:C110"/>
    <mergeCell ref="A61:C61"/>
    <mergeCell ref="A105:C105"/>
    <mergeCell ref="A125:C125"/>
    <mergeCell ref="A116:C11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4" manualBreakCount="4">
    <brk id="37" max="9" man="1"/>
    <brk id="71" max="9" man="1"/>
    <brk id="104" max="9" man="1"/>
    <brk id="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5</vt:i4>
      </vt:variant>
    </vt:vector>
  </HeadingPairs>
  <TitlesOfParts>
    <vt:vector size="11" baseType="lpstr">
      <vt:lpstr>SAŽETAK</vt:lpstr>
      <vt:lpstr>Račun ph i rh - ekonomska kl.</vt:lpstr>
      <vt:lpstr>Prema izvorima financiranja</vt:lpstr>
      <vt:lpstr>Rashodi prema funkcijskoj kl</vt:lpstr>
      <vt:lpstr>Račun financiranja</vt:lpstr>
      <vt:lpstr>POSEBNI DIO</vt:lpstr>
      <vt:lpstr>'POSEBNI DIO'!Ispis_naslova</vt:lpstr>
      <vt:lpstr>'Rashodi prema funkcijskoj kl'!Ispis_naslova</vt:lpstr>
      <vt:lpstr>'POSEBNI DIO'!Podrucje_ispisa</vt:lpstr>
      <vt:lpstr>'Račun financiranja'!Podrucje_ispisa</vt:lpstr>
      <vt:lpstr>'Račun ph i rh - ekonomska kl.'!Podrucje_ispisa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 Lovret - računovodstvo</cp:lastModifiedBy>
  <cp:lastPrinted>2026-03-16T12:15:20Z</cp:lastPrinted>
  <dcterms:created xsi:type="dcterms:W3CDTF">2022-08-12T12:51:27Z</dcterms:created>
  <dcterms:modified xsi:type="dcterms:W3CDTF">2026-03-24T13:41:00Z</dcterms:modified>
</cp:coreProperties>
</file>